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i.potskhverashvili\Desktop\F\Pillar 3\I q 2026\"/>
    </mc:Choice>
  </mc:AlternateContent>
  <xr:revisionPtr revIDLastSave="0" documentId="13_ncr:1_{473AB09E-28F6-4D12-B199-89A075082D8F}" xr6:coauthVersionLast="47" xr6:coauthVersionMax="47" xr10:uidLastSave="{00000000-0000-0000-0000-000000000000}"/>
  <bookViews>
    <workbookView xWindow="-108" yWindow="-108" windowWidth="23256" windowHeight="12576" tabRatio="902" xr2:uid="{06D5E605-B92B-47A1-916A-C5D7EE605ACD}"/>
  </bookViews>
  <sheets>
    <sheet name="Info" sheetId="1" r:id="rId1"/>
    <sheet name="1. key ratios" sheetId="2" r:id="rId2"/>
    <sheet name="2. SOFP" sheetId="3" r:id="rId3"/>
    <sheet name="3. SOPL" sheetId="4" r:id="rId4"/>
    <sheet name="4. Off-balance" sheetId="5" r:id="rId5"/>
    <sheet name="5. RWA" sheetId="6" r:id="rId6"/>
    <sheet name="6. Administrators-shareholders" sheetId="7" r:id="rId7"/>
    <sheet name="7. LI1" sheetId="8" r:id="rId8"/>
    <sheet name="8. LI2" sheetId="9" r:id="rId9"/>
    <sheet name="9. Capital" sheetId="10" r:id="rId10"/>
    <sheet name="9.1. Capital Requirements" sheetId="11" r:id="rId11"/>
    <sheet name="9.2. MREL1" sheetId="12" r:id="rId12"/>
    <sheet name="9.3. MREL2" sheetId="13" r:id="rId13"/>
    <sheet name="10. CC2" sheetId="14" r:id="rId14"/>
    <sheet name="11. CRWA" sheetId="15" r:id="rId15"/>
    <sheet name="12. CRM" sheetId="16" r:id="rId16"/>
    <sheet name="13. CRME" sheetId="17" r:id="rId17"/>
    <sheet name="14. LCR" sheetId="18" r:id="rId18"/>
    <sheet name="15. CCR" sheetId="19" r:id="rId19"/>
    <sheet name="15.1. LR" sheetId="20" r:id="rId20"/>
    <sheet name="15.2. CVA" sheetId="21" r:id="rId21"/>
    <sheet name="16. NSFR" sheetId="22" r:id="rId22"/>
    <sheet name=" 17. Residual Maturity" sheetId="23" r:id="rId23"/>
    <sheet name="18. Assets by Exposure classes" sheetId="24" r:id="rId24"/>
    <sheet name="19. Assets by Risk Sectors" sheetId="25" r:id="rId25"/>
    <sheet name="20. Reserves" sheetId="26" r:id="rId26"/>
    <sheet name="21. NPL" sheetId="27" r:id="rId27"/>
    <sheet name="22. Quality" sheetId="28" r:id="rId28"/>
    <sheet name="23. LTV" sheetId="29" r:id="rId29"/>
    <sheet name="24. Risk Sector" sheetId="30" r:id="rId30"/>
    <sheet name="25. Collateral" sheetId="31" r:id="rId31"/>
    <sheet name="26. Retail Products" sheetId="32" r:id="rId32"/>
    <sheet name="Instruction" sheetId="33" r:id="rId33"/>
  </sheets>
  <definedNames>
    <definedName name="_cur1">#REF!</definedName>
    <definedName name="_cur2">#REF!</definedName>
    <definedName name="_xlnm._FilterDatabase" localSheetId="32" hidden="1">Instruction!$A$108:$C$112</definedName>
    <definedName name="_Key1" hidden="1">#REF!</definedName>
    <definedName name="_Order1" hidden="1">255</definedName>
    <definedName name="_Order2" hidden="1">255</definedName>
    <definedName name="_Parse_In" hidden="1">#REF!</definedName>
    <definedName name="_Sort" hidden="1">#REF!</definedName>
    <definedName name="_sum1">#REF!</definedName>
    <definedName name="_sum2">#REF!</definedName>
    <definedName name="a" hidden="1">#REF!</definedName>
    <definedName name="aaaaaaaaa" hidden="1">#REF!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acctype">#REF!</definedName>
    <definedName name="ana"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BA_Demand_Deposits_Res_Ind">#REF!</definedName>
    <definedName name="BALACC">#REF!</definedName>
    <definedName name="BG_Del" hidden="1">15</definedName>
    <definedName name="BG_Ins" hidden="1">4</definedName>
    <definedName name="BG_Mod" hidden="1">6</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all">#REF!</definedName>
    <definedName name="convert">#REF!</definedName>
    <definedName name="Countries">#REF!</definedName>
    <definedName name="currencies">#REF!</definedName>
    <definedName name="CurrencyCodes">#REF!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dependency">#REF!</definedName>
    <definedName name="dfgdfg">#REF!</definedName>
    <definedName name="dfgh" hidden="1">#REF!</definedName>
    <definedName name="fghgh">#REF!</definedName>
    <definedName name="fintype">#REF!</definedName>
    <definedName name="fvgfbv">#REF!</definedName>
    <definedName name="hjhhjhj">#REF!</definedName>
    <definedName name="jgjhg" hidden="1">#REF!</definedName>
    <definedName name="jgjhg1" hidden="1">#REF!</definedName>
    <definedName name="L_FORMULAS_GEO">#REF!</definedName>
    <definedName name="LDtype">#REF!</definedName>
    <definedName name="NDtype">#REF!</definedName>
    <definedName name="ÓÓÓÓÓÓÓÓ" hidden="1">#REF!</definedName>
    <definedName name="ÓÓÓÓÓÓÓÓÓÓÓÓÓÓÓ" hidden="1">#REF!</definedName>
    <definedName name="Q" hidden="1">#REF!</definedName>
    <definedName name="S">#REF!</definedName>
    <definedName name="sdsss" hidden="1">#REF!</definedName>
    <definedName name="Sheet" localSheetId="11">#REF!</definedName>
    <definedName name="Sheet" localSheetId="12">#REF!</definedName>
    <definedName name="Sheet">#REF!</definedName>
    <definedName name="ss" hidden="1">#REF!</definedName>
    <definedName name="sub">#REF!</definedName>
    <definedName name="TextRefCopyRangeCount" hidden="1">3</definedName>
    <definedName name="v">#REF!</definedName>
    <definedName name="wrn.Aging._.and._.Trend._.Analysis." hidden="1">{#N/A,#N/A,FALSE,"Aging Summary";#N/A,#N/A,FALSE,"Ratio Analysis";#N/A,#N/A,FALSE,"Test 120 Day Accts";#N/A,#N/A,FALSE,"Tickmarks"}</definedName>
    <definedName name="WT">#REF!</definedName>
    <definedName name="YesNo">#REF!</definedName>
    <definedName name="z">#REF!</definedName>
    <definedName name="ა">#REF!</definedName>
    <definedName name="აა" hidden="1">#REF!</definedName>
    <definedName name="ს" hidden="1">#REF!</definedName>
    <definedName name="საკრედიტო" localSheetId="11">#REF!</definedName>
    <definedName name="საკრედიტო" localSheetId="12">#REF!</definedName>
    <definedName name="საკრედიტო">#REF!</definedName>
    <definedName name="სსს" hidden="1">#REF!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 name="ჯ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2" i="32" l="1"/>
  <c r="B1" i="32"/>
  <c r="B2" i="31"/>
  <c r="B1" i="31"/>
  <c r="L33" i="30"/>
  <c r="G33" i="30"/>
  <c r="K33" i="30"/>
  <c r="J33" i="30"/>
  <c r="I33" i="30"/>
  <c r="H33" i="30"/>
  <c r="F33" i="30"/>
  <c r="E33" i="30"/>
  <c r="D33" i="30"/>
  <c r="C33" i="30"/>
  <c r="C34" i="2" s="1"/>
  <c r="B2" i="30"/>
  <c r="B1" i="30"/>
  <c r="C20" i="29"/>
  <c r="C19" i="29"/>
  <c r="C18" i="29"/>
  <c r="S16" i="29"/>
  <c r="O16" i="29"/>
  <c r="K16" i="29"/>
  <c r="G16" i="29"/>
  <c r="D16" i="29"/>
  <c r="C17" i="29"/>
  <c r="R16" i="29"/>
  <c r="Q16" i="29"/>
  <c r="P16" i="29"/>
  <c r="N16" i="29"/>
  <c r="M16" i="29"/>
  <c r="L16" i="29"/>
  <c r="J16" i="29"/>
  <c r="I16" i="29"/>
  <c r="H16" i="29"/>
  <c r="F16" i="29"/>
  <c r="E16" i="29"/>
  <c r="B2" i="29"/>
  <c r="B1" i="29"/>
  <c r="C17" i="28"/>
  <c r="C15" i="28" s="1"/>
  <c r="D15" i="28"/>
  <c r="Q8" i="28"/>
  <c r="L8" i="28"/>
  <c r="H8" i="28"/>
  <c r="C12" i="28"/>
  <c r="C11" i="28"/>
  <c r="C10" i="28"/>
  <c r="C9" i="28"/>
  <c r="AA8" i="28"/>
  <c r="Z8" i="28"/>
  <c r="Y8" i="28"/>
  <c r="X8" i="28"/>
  <c r="W8" i="28"/>
  <c r="V8" i="28"/>
  <c r="U8" i="28"/>
  <c r="T8" i="28"/>
  <c r="S8" i="28"/>
  <c r="R8" i="28"/>
  <c r="P8" i="28"/>
  <c r="O8" i="28"/>
  <c r="N8" i="28"/>
  <c r="K8" i="28"/>
  <c r="J8" i="28"/>
  <c r="G8" i="28"/>
  <c r="F8" i="28"/>
  <c r="B2" i="28"/>
  <c r="B1" i="28"/>
  <c r="B2" i="27"/>
  <c r="B1" i="27"/>
  <c r="C10" i="26"/>
  <c r="C7" i="26"/>
  <c r="B2" i="26"/>
  <c r="B1" i="26"/>
  <c r="F34" i="25"/>
  <c r="H32" i="25"/>
  <c r="H30" i="25"/>
  <c r="H29" i="25"/>
  <c r="H27" i="25"/>
  <c r="H26" i="25"/>
  <c r="H25" i="25"/>
  <c r="H23" i="25"/>
  <c r="H22" i="25"/>
  <c r="H21" i="25"/>
  <c r="H20" i="25"/>
  <c r="H19" i="25"/>
  <c r="H18" i="25"/>
  <c r="H17" i="25"/>
  <c r="H15" i="25"/>
  <c r="H14" i="25"/>
  <c r="H13" i="25"/>
  <c r="H11" i="25"/>
  <c r="H10" i="25"/>
  <c r="H9" i="25"/>
  <c r="G34" i="25"/>
  <c r="B2" i="25"/>
  <c r="B1" i="25"/>
  <c r="F22" i="24"/>
  <c r="F21" i="24"/>
  <c r="E33" i="25"/>
  <c r="D33" i="25"/>
  <c r="H20" i="24"/>
  <c r="H19" i="24"/>
  <c r="H18" i="24"/>
  <c r="H17" i="24"/>
  <c r="H16" i="24"/>
  <c r="H15" i="24"/>
  <c r="G22" i="24"/>
  <c r="H14" i="24"/>
  <c r="D22" i="24"/>
  <c r="C22" i="24"/>
  <c r="H12" i="24"/>
  <c r="H11" i="24"/>
  <c r="H10" i="24"/>
  <c r="H9" i="24"/>
  <c r="H8" i="24"/>
  <c r="H7" i="24"/>
  <c r="E21" i="24"/>
  <c r="D21" i="24"/>
  <c r="B2" i="24"/>
  <c r="B1" i="24"/>
  <c r="H20" i="23"/>
  <c r="H19" i="23"/>
  <c r="F22" i="23"/>
  <c r="H18" i="23"/>
  <c r="H17" i="23"/>
  <c r="H16" i="23"/>
  <c r="H15" i="23"/>
  <c r="H13" i="23"/>
  <c r="H12" i="23"/>
  <c r="H11" i="23"/>
  <c r="H10" i="23"/>
  <c r="H9" i="23"/>
  <c r="B2" i="23"/>
  <c r="B1" i="23"/>
  <c r="G36" i="22"/>
  <c r="E33" i="22"/>
  <c r="D33" i="22"/>
  <c r="G26" i="22"/>
  <c r="E24" i="22"/>
  <c r="D24" i="22"/>
  <c r="C24" i="22"/>
  <c r="F18" i="22"/>
  <c r="E18" i="22"/>
  <c r="D18" i="22"/>
  <c r="G16" i="22"/>
  <c r="F14" i="22"/>
  <c r="C14" i="22"/>
  <c r="E11" i="22"/>
  <c r="F11" i="22"/>
  <c r="D11" i="22"/>
  <c r="G12" i="22"/>
  <c r="G10" i="22"/>
  <c r="G9" i="22"/>
  <c r="G8" i="22" s="1"/>
  <c r="F8" i="22"/>
  <c r="E8" i="22"/>
  <c r="D8" i="22"/>
  <c r="B2" i="22"/>
  <c r="B1" i="22"/>
  <c r="F6" i="21"/>
  <c r="E6" i="21"/>
  <c r="D6" i="21"/>
  <c r="C6" i="21"/>
  <c r="B2" i="21"/>
  <c r="B1" i="21"/>
  <c r="C22" i="20"/>
  <c r="C14" i="20"/>
  <c r="C8" i="20"/>
  <c r="B2" i="20"/>
  <c r="B1" i="20"/>
  <c r="Q33" i="19"/>
  <c r="I33" i="19"/>
  <c r="Q32" i="19"/>
  <c r="I32" i="19"/>
  <c r="Q31" i="19"/>
  <c r="Q30" i="19" s="1"/>
  <c r="I31" i="19"/>
  <c r="I30" i="19"/>
  <c r="Q29" i="19"/>
  <c r="I29" i="19"/>
  <c r="Q28" i="19"/>
  <c r="I28" i="19"/>
  <c r="L7" i="19"/>
  <c r="Q27" i="19"/>
  <c r="Q26" i="19" s="1"/>
  <c r="F26" i="19"/>
  <c r="E26" i="19"/>
  <c r="Q25" i="19"/>
  <c r="I25" i="19"/>
  <c r="Q24" i="19"/>
  <c r="I24" i="19"/>
  <c r="Q23" i="19"/>
  <c r="I23" i="19"/>
  <c r="Q22" i="19"/>
  <c r="I22" i="19"/>
  <c r="Q21" i="19"/>
  <c r="I21" i="19"/>
  <c r="Q20" i="19"/>
  <c r="Q8" i="19" s="1"/>
  <c r="I20" i="19"/>
  <c r="N7" i="19"/>
  <c r="N6" i="19" s="1"/>
  <c r="N34" i="19" s="1"/>
  <c r="I19" i="19"/>
  <c r="D7" i="19"/>
  <c r="D6" i="19" s="1"/>
  <c r="D34" i="19" s="1"/>
  <c r="I18" i="19"/>
  <c r="Q17" i="19"/>
  <c r="I17" i="19"/>
  <c r="Q16" i="19"/>
  <c r="I16" i="19"/>
  <c r="Q15" i="19"/>
  <c r="Q14" i="19" s="1"/>
  <c r="I15" i="19"/>
  <c r="I14" i="19"/>
  <c r="Q13" i="19"/>
  <c r="Q9" i="19" s="1"/>
  <c r="I13" i="19"/>
  <c r="Q12" i="19"/>
  <c r="I12" i="19"/>
  <c r="Q11" i="19"/>
  <c r="Q10" i="19" s="1"/>
  <c r="I11" i="19"/>
  <c r="I10" i="19"/>
  <c r="P9" i="19"/>
  <c r="O9" i="19"/>
  <c r="N9" i="19"/>
  <c r="M9" i="19"/>
  <c r="L9" i="19"/>
  <c r="K9" i="19"/>
  <c r="J9" i="19"/>
  <c r="I9" i="19"/>
  <c r="G9" i="19"/>
  <c r="F9" i="19"/>
  <c r="E9" i="19"/>
  <c r="D9" i="19"/>
  <c r="C9" i="19"/>
  <c r="P8" i="19"/>
  <c r="O8" i="19"/>
  <c r="N8" i="19"/>
  <c r="M8" i="19"/>
  <c r="L8" i="19"/>
  <c r="K8" i="19"/>
  <c r="J8" i="19"/>
  <c r="G8" i="19"/>
  <c r="F8" i="19"/>
  <c r="I8" i="19" s="1"/>
  <c r="E8" i="19"/>
  <c r="D8" i="19"/>
  <c r="C8" i="19"/>
  <c r="O7" i="19"/>
  <c r="M7" i="19"/>
  <c r="M6" i="19" s="1"/>
  <c r="M34" i="19" s="1"/>
  <c r="K7" i="19"/>
  <c r="K6" i="19" s="1"/>
  <c r="K34" i="19" s="1"/>
  <c r="F7" i="19"/>
  <c r="E7" i="19"/>
  <c r="E6" i="19" s="1"/>
  <c r="E34" i="19" s="1"/>
  <c r="C13" i="20" s="1"/>
  <c r="L6" i="19"/>
  <c r="L34" i="19" s="1"/>
  <c r="F6" i="19"/>
  <c r="F34" i="19" s="1"/>
  <c r="B2" i="19"/>
  <c r="B1" i="19"/>
  <c r="J25" i="18"/>
  <c r="G25" i="18"/>
  <c r="K24" i="18"/>
  <c r="H24" i="18"/>
  <c r="K23" i="18"/>
  <c r="K25" i="18" s="1"/>
  <c r="J23" i="18"/>
  <c r="I23" i="18"/>
  <c r="I25" i="18" s="1"/>
  <c r="G23" i="18"/>
  <c r="F23" i="18"/>
  <c r="J21" i="18"/>
  <c r="I21" i="18"/>
  <c r="H21" i="18"/>
  <c r="G21" i="18"/>
  <c r="F21" i="18"/>
  <c r="D21" i="18"/>
  <c r="C21" i="18"/>
  <c r="K20" i="18"/>
  <c r="H20" i="18"/>
  <c r="E20" i="18"/>
  <c r="K19" i="18"/>
  <c r="K21" i="18" s="1"/>
  <c r="H19" i="18"/>
  <c r="E19" i="18"/>
  <c r="J16" i="18"/>
  <c r="K16" i="18" s="1"/>
  <c r="I16" i="18"/>
  <c r="G16" i="18"/>
  <c r="F16" i="18"/>
  <c r="H16" i="18" s="1"/>
  <c r="D16" i="18"/>
  <c r="C16" i="18"/>
  <c r="K15" i="18"/>
  <c r="H15" i="18"/>
  <c r="E15" i="18"/>
  <c r="K14" i="18"/>
  <c r="H14" i="18"/>
  <c r="E14" i="18"/>
  <c r="K13" i="18"/>
  <c r="H13" i="18"/>
  <c r="E13" i="18"/>
  <c r="K12" i="18"/>
  <c r="H12" i="18"/>
  <c r="E12" i="18"/>
  <c r="K11" i="18"/>
  <c r="H11" i="18"/>
  <c r="E11" i="18"/>
  <c r="K10" i="18"/>
  <c r="H10" i="18"/>
  <c r="E10" i="18"/>
  <c r="K8" i="18"/>
  <c r="H8" i="18"/>
  <c r="B2" i="18"/>
  <c r="B1" i="18"/>
  <c r="E22" i="17"/>
  <c r="D22" i="17"/>
  <c r="H19" i="17"/>
  <c r="H18" i="17"/>
  <c r="H15" i="17"/>
  <c r="H13" i="17"/>
  <c r="H12" i="17"/>
  <c r="H11" i="17"/>
  <c r="H10" i="17"/>
  <c r="H9" i="17"/>
  <c r="B2" i="17"/>
  <c r="B1" i="17"/>
  <c r="S21" i="16"/>
  <c r="R21" i="16"/>
  <c r="Q21" i="16"/>
  <c r="P21" i="16"/>
  <c r="O21" i="16"/>
  <c r="N21" i="16"/>
  <c r="M21" i="16"/>
  <c r="L21" i="16"/>
  <c r="K21" i="16"/>
  <c r="J21" i="16"/>
  <c r="I21" i="16"/>
  <c r="H21" i="16"/>
  <c r="G21" i="16"/>
  <c r="F21" i="16"/>
  <c r="E21" i="16"/>
  <c r="C21" i="16"/>
  <c r="V20" i="16"/>
  <c r="T20" i="16"/>
  <c r="V19" i="16"/>
  <c r="T19" i="16"/>
  <c r="V18" i="16"/>
  <c r="T18" i="16"/>
  <c r="V17" i="16"/>
  <c r="T17" i="16"/>
  <c r="V16" i="16"/>
  <c r="T16" i="16"/>
  <c r="V15" i="16"/>
  <c r="T15" i="16"/>
  <c r="V13" i="16"/>
  <c r="T13" i="16"/>
  <c r="V12" i="16"/>
  <c r="V11" i="16"/>
  <c r="V10" i="16"/>
  <c r="V9" i="16"/>
  <c r="V8" i="16"/>
  <c r="V7" i="16"/>
  <c r="B2" i="16"/>
  <c r="B1" i="16"/>
  <c r="R22" i="15"/>
  <c r="P22" i="15"/>
  <c r="M22" i="15"/>
  <c r="L22" i="15"/>
  <c r="J22" i="15"/>
  <c r="H22" i="15"/>
  <c r="F22" i="15"/>
  <c r="E22" i="15"/>
  <c r="D22" i="15"/>
  <c r="S20" i="15"/>
  <c r="S19" i="15"/>
  <c r="S18" i="15"/>
  <c r="S17" i="15"/>
  <c r="S16" i="15"/>
  <c r="S15" i="15"/>
  <c r="N22" i="15"/>
  <c r="S14" i="15"/>
  <c r="S13" i="15"/>
  <c r="S12" i="15"/>
  <c r="S11" i="15"/>
  <c r="S10" i="15"/>
  <c r="S9" i="15"/>
  <c r="O22" i="15"/>
  <c r="G22" i="15"/>
  <c r="B2" i="15"/>
  <c r="B1" i="15"/>
  <c r="C51" i="14"/>
  <c r="B2" i="14"/>
  <c r="B1" i="14"/>
  <c r="E12" i="13"/>
  <c r="D12" i="13"/>
  <c r="C12" i="13"/>
  <c r="B12" i="13"/>
  <c r="E11" i="13"/>
  <c r="D11" i="13"/>
  <c r="C11" i="13"/>
  <c r="B11" i="13"/>
  <c r="F11" i="13" s="1"/>
  <c r="E10" i="13"/>
  <c r="D10" i="13"/>
  <c r="C10" i="13"/>
  <c r="B10" i="13"/>
  <c r="F10" i="13" s="1"/>
  <c r="F9" i="13"/>
  <c r="E9" i="13"/>
  <c r="D9" i="13"/>
  <c r="C9" i="13"/>
  <c r="B9" i="13"/>
  <c r="B2" i="13"/>
  <c r="B1" i="13"/>
  <c r="B19" i="12"/>
  <c r="B11" i="12"/>
  <c r="B2" i="12"/>
  <c r="B1" i="12"/>
  <c r="D20" i="11"/>
  <c r="C21" i="11"/>
  <c r="C20" i="11"/>
  <c r="C19" i="11"/>
  <c r="D13" i="11"/>
  <c r="D7" i="11"/>
  <c r="B2" i="11"/>
  <c r="B1" i="11"/>
  <c r="C53" i="10"/>
  <c r="C48" i="10"/>
  <c r="C44" i="10"/>
  <c r="C42" i="10"/>
  <c r="C36" i="10"/>
  <c r="C32" i="10"/>
  <c r="C31" i="10"/>
  <c r="C13" i="10"/>
  <c r="B2" i="10"/>
  <c r="B1" i="10"/>
  <c r="B2" i="9"/>
  <c r="B1" i="9"/>
  <c r="D25" i="8"/>
  <c r="D20" i="8"/>
  <c r="D16" i="8"/>
  <c r="D8" i="8"/>
  <c r="B2" i="8"/>
  <c r="B1" i="8"/>
  <c r="B2" i="7"/>
  <c r="B1" i="7"/>
  <c r="E13" i="6"/>
  <c r="D13" i="6"/>
  <c r="G6" i="6"/>
  <c r="G13" i="6" s="1"/>
  <c r="F6" i="6"/>
  <c r="F13" i="6" s="1"/>
  <c r="E6" i="6"/>
  <c r="D6" i="6"/>
  <c r="C6" i="6"/>
  <c r="C13" i="6" s="1"/>
  <c r="D15" i="11" s="1"/>
  <c r="F5" i="6"/>
  <c r="D5" i="6"/>
  <c r="C5" i="6"/>
  <c r="B2" i="6"/>
  <c r="E5" i="6" s="1"/>
  <c r="B1" i="6"/>
  <c r="H43" i="5"/>
  <c r="E43" i="5"/>
  <c r="H42" i="5"/>
  <c r="E42" i="5"/>
  <c r="H41" i="5"/>
  <c r="E41" i="5"/>
  <c r="H40" i="5"/>
  <c r="E40" i="5"/>
  <c r="H39" i="5"/>
  <c r="E39" i="5"/>
  <c r="G38" i="5"/>
  <c r="F38" i="5"/>
  <c r="H38" i="5" s="1"/>
  <c r="E38" i="5"/>
  <c r="D38" i="5"/>
  <c r="C38" i="5"/>
  <c r="H37" i="5"/>
  <c r="E37" i="5"/>
  <c r="H36" i="5"/>
  <c r="E36" i="5"/>
  <c r="H35" i="5"/>
  <c r="E35" i="5"/>
  <c r="H34" i="5"/>
  <c r="E34" i="5"/>
  <c r="H33" i="5"/>
  <c r="E33" i="5"/>
  <c r="H32" i="5"/>
  <c r="D30" i="5"/>
  <c r="H31" i="5"/>
  <c r="E31" i="5"/>
  <c r="G30" i="5"/>
  <c r="H30" i="5" s="1"/>
  <c r="F30" i="5"/>
  <c r="H29" i="5"/>
  <c r="E29" i="5"/>
  <c r="H28" i="5"/>
  <c r="E28" i="5"/>
  <c r="D27" i="28" s="1"/>
  <c r="H27" i="5"/>
  <c r="E27" i="5"/>
  <c r="H26" i="5"/>
  <c r="E26" i="5"/>
  <c r="H25" i="5"/>
  <c r="E25" i="5"/>
  <c r="H24" i="5"/>
  <c r="E24" i="5"/>
  <c r="H23" i="5"/>
  <c r="E23" i="5"/>
  <c r="H22" i="5"/>
  <c r="E22" i="5"/>
  <c r="H21" i="5"/>
  <c r="E21" i="5"/>
  <c r="H20" i="5"/>
  <c r="E20" i="5"/>
  <c r="H19" i="5"/>
  <c r="E19" i="5"/>
  <c r="H18" i="5"/>
  <c r="E18" i="5"/>
  <c r="H17" i="5"/>
  <c r="C17" i="5"/>
  <c r="H16" i="5"/>
  <c r="E16" i="5"/>
  <c r="H15" i="5"/>
  <c r="E15" i="5"/>
  <c r="G14" i="5"/>
  <c r="F14" i="5"/>
  <c r="H14" i="5" s="1"/>
  <c r="C14" i="5"/>
  <c r="H13" i="5"/>
  <c r="E13" i="5"/>
  <c r="H12" i="5"/>
  <c r="E12" i="5"/>
  <c r="G11" i="5"/>
  <c r="F11" i="5"/>
  <c r="H11" i="5" s="1"/>
  <c r="E11" i="5"/>
  <c r="D11" i="5"/>
  <c r="C11" i="5"/>
  <c r="H10" i="5"/>
  <c r="E10" i="5"/>
  <c r="H9" i="5"/>
  <c r="D8" i="5"/>
  <c r="G8" i="5"/>
  <c r="F8" i="5"/>
  <c r="H8" i="5" s="1"/>
  <c r="H7" i="5"/>
  <c r="E7" i="5"/>
  <c r="H6" i="5"/>
  <c r="E6" i="5"/>
  <c r="B2" i="5"/>
  <c r="B1" i="5"/>
  <c r="H44" i="4"/>
  <c r="E44" i="4"/>
  <c r="H42" i="4"/>
  <c r="E42" i="4"/>
  <c r="H41" i="4"/>
  <c r="E41" i="4"/>
  <c r="H40" i="4"/>
  <c r="E40" i="4"/>
  <c r="H39" i="4"/>
  <c r="H38" i="4"/>
  <c r="E38" i="4"/>
  <c r="G37" i="4"/>
  <c r="F37" i="4"/>
  <c r="D37" i="4"/>
  <c r="H36" i="4"/>
  <c r="E36" i="4"/>
  <c r="H35" i="4"/>
  <c r="D34" i="4"/>
  <c r="E35" i="4"/>
  <c r="G34" i="4"/>
  <c r="F34" i="4"/>
  <c r="C34" i="4"/>
  <c r="E34" i="4" s="1"/>
  <c r="H33" i="4"/>
  <c r="E33" i="4"/>
  <c r="H32" i="4"/>
  <c r="E32" i="4"/>
  <c r="H31" i="4"/>
  <c r="E31" i="4"/>
  <c r="H30" i="4"/>
  <c r="E30" i="4"/>
  <c r="G29" i="4"/>
  <c r="H29" i="4" s="1"/>
  <c r="F29" i="4"/>
  <c r="D29" i="4"/>
  <c r="C29" i="4"/>
  <c r="E29" i="4" s="1"/>
  <c r="H28" i="4"/>
  <c r="E28" i="4"/>
  <c r="H27" i="4"/>
  <c r="E27" i="4"/>
  <c r="H26" i="4"/>
  <c r="E26" i="4"/>
  <c r="H25" i="4"/>
  <c r="E25" i="4"/>
  <c r="H24" i="4"/>
  <c r="E24" i="4"/>
  <c r="H23" i="4"/>
  <c r="E23" i="4"/>
  <c r="H22" i="4"/>
  <c r="E22" i="4"/>
  <c r="H21" i="4"/>
  <c r="E21" i="4"/>
  <c r="H20" i="4"/>
  <c r="H19" i="4"/>
  <c r="E19" i="4"/>
  <c r="H18" i="4"/>
  <c r="E18" i="4"/>
  <c r="H17" i="4"/>
  <c r="E17" i="4"/>
  <c r="H16" i="4"/>
  <c r="E16" i="4"/>
  <c r="H15" i="4"/>
  <c r="E15" i="4"/>
  <c r="H14" i="4"/>
  <c r="E14" i="4"/>
  <c r="G13" i="4"/>
  <c r="F13" i="4"/>
  <c r="H13" i="4" s="1"/>
  <c r="C13" i="4"/>
  <c r="H12" i="4"/>
  <c r="E12" i="4"/>
  <c r="H11" i="4"/>
  <c r="H10" i="4"/>
  <c r="E10" i="4"/>
  <c r="H9" i="4"/>
  <c r="E9" i="4"/>
  <c r="H8" i="4"/>
  <c r="E8" i="4"/>
  <c r="H7" i="4"/>
  <c r="E7" i="4"/>
  <c r="H6" i="4"/>
  <c r="G6" i="4"/>
  <c r="G43" i="4" s="1"/>
  <c r="G45" i="4" s="1"/>
  <c r="F6" i="4"/>
  <c r="D6" i="4"/>
  <c r="B2" i="4"/>
  <c r="B1" i="4"/>
  <c r="G68" i="3"/>
  <c r="F68" i="3"/>
  <c r="H67" i="3"/>
  <c r="E67" i="3"/>
  <c r="C66" i="14" s="1"/>
  <c r="H66" i="3"/>
  <c r="E66" i="3"/>
  <c r="C65" i="14" s="1"/>
  <c r="H65" i="3"/>
  <c r="E65" i="3"/>
  <c r="C64" i="14" s="1"/>
  <c r="H64" i="3"/>
  <c r="E64" i="3"/>
  <c r="H63" i="3"/>
  <c r="F63" i="3"/>
  <c r="D63" i="3"/>
  <c r="C63" i="3"/>
  <c r="H62" i="3"/>
  <c r="E62" i="3"/>
  <c r="C61" i="14" s="1"/>
  <c r="H61" i="3"/>
  <c r="E61" i="3"/>
  <c r="C60" i="14" s="1"/>
  <c r="H60" i="3"/>
  <c r="E60" i="3"/>
  <c r="C59" i="14" s="1"/>
  <c r="H59" i="3"/>
  <c r="E59" i="3"/>
  <c r="D59" i="3"/>
  <c r="C59" i="3"/>
  <c r="H58" i="3"/>
  <c r="E58" i="3"/>
  <c r="C57" i="14" s="1"/>
  <c r="H57" i="3"/>
  <c r="E57" i="3"/>
  <c r="C56" i="14" s="1"/>
  <c r="H56" i="3"/>
  <c r="E56" i="3"/>
  <c r="C55" i="14" s="1"/>
  <c r="H55" i="3"/>
  <c r="E55" i="3"/>
  <c r="H52" i="3"/>
  <c r="E52" i="3"/>
  <c r="H51" i="3"/>
  <c r="H50" i="3"/>
  <c r="E50" i="3"/>
  <c r="H49" i="3"/>
  <c r="E49" i="3"/>
  <c r="C48" i="14" s="1"/>
  <c r="H48" i="3"/>
  <c r="E48" i="3"/>
  <c r="C47" i="14" s="1"/>
  <c r="G47" i="3"/>
  <c r="F47" i="3"/>
  <c r="D47" i="3"/>
  <c r="C47" i="3"/>
  <c r="E47" i="3" s="1"/>
  <c r="H46" i="3"/>
  <c r="H45" i="3"/>
  <c r="E45" i="3"/>
  <c r="C44" i="14" s="1"/>
  <c r="H44" i="3"/>
  <c r="E44" i="3"/>
  <c r="C43" i="14" s="1"/>
  <c r="H43" i="3"/>
  <c r="E43" i="3"/>
  <c r="C42" i="14" s="1"/>
  <c r="H42" i="3"/>
  <c r="G41" i="3"/>
  <c r="F41" i="3"/>
  <c r="H41" i="3" s="1"/>
  <c r="H40" i="3"/>
  <c r="E40" i="3"/>
  <c r="C39" i="14" s="1"/>
  <c r="H39" i="3"/>
  <c r="E39" i="3"/>
  <c r="C38" i="14" s="1"/>
  <c r="H38" i="3"/>
  <c r="C38" i="3"/>
  <c r="H35" i="3"/>
  <c r="E35" i="3"/>
  <c r="C36" i="8" s="1"/>
  <c r="H34" i="3"/>
  <c r="E34" i="3"/>
  <c r="C35" i="8" s="1"/>
  <c r="H33" i="3"/>
  <c r="E33" i="3"/>
  <c r="H32" i="3"/>
  <c r="H31" i="3"/>
  <c r="E31" i="3"/>
  <c r="G30" i="3"/>
  <c r="F30" i="3"/>
  <c r="D30" i="3"/>
  <c r="C30" i="3"/>
  <c r="H29" i="3"/>
  <c r="E29" i="3"/>
  <c r="H28" i="3"/>
  <c r="E28" i="3"/>
  <c r="C29" i="8" s="1"/>
  <c r="G27" i="3"/>
  <c r="F27" i="3"/>
  <c r="H27" i="3" s="1"/>
  <c r="D27" i="3"/>
  <c r="C27" i="3"/>
  <c r="E27" i="3" s="1"/>
  <c r="H26" i="3"/>
  <c r="E26" i="3"/>
  <c r="C27" i="8" s="1"/>
  <c r="E27" i="8" s="1"/>
  <c r="C25" i="14" s="1"/>
  <c r="H25" i="3"/>
  <c r="E25" i="3"/>
  <c r="G24" i="3"/>
  <c r="H24" i="3" s="1"/>
  <c r="F24" i="3"/>
  <c r="D24" i="3"/>
  <c r="C24" i="3"/>
  <c r="E24" i="3" s="1"/>
  <c r="H23" i="3"/>
  <c r="E23" i="3"/>
  <c r="H22" i="3"/>
  <c r="E22" i="3"/>
  <c r="C23" i="8" s="1"/>
  <c r="E23" i="8" s="1"/>
  <c r="H21" i="3"/>
  <c r="E21" i="3"/>
  <c r="H20" i="3"/>
  <c r="E20" i="3"/>
  <c r="G19" i="3"/>
  <c r="F19" i="3"/>
  <c r="H19" i="3" s="1"/>
  <c r="D19" i="3"/>
  <c r="H18" i="3"/>
  <c r="E18" i="3"/>
  <c r="C19" i="8" s="1"/>
  <c r="E19" i="8" s="1"/>
  <c r="C17" i="14" s="1"/>
  <c r="H17" i="3"/>
  <c r="E17" i="3"/>
  <c r="C18" i="8" s="1"/>
  <c r="E18" i="8" s="1"/>
  <c r="C16" i="14" s="1"/>
  <c r="H16" i="3"/>
  <c r="C15" i="3"/>
  <c r="G15" i="3"/>
  <c r="H15" i="3" s="1"/>
  <c r="F15" i="3"/>
  <c r="D15" i="3"/>
  <c r="H14" i="3"/>
  <c r="E14" i="3"/>
  <c r="C15" i="8" s="1"/>
  <c r="E15" i="8" s="1"/>
  <c r="C13" i="14" s="1"/>
  <c r="H13" i="3"/>
  <c r="E13" i="3"/>
  <c r="C14" i="8" s="1"/>
  <c r="E14" i="8" s="1"/>
  <c r="C12" i="14" s="1"/>
  <c r="H12" i="3"/>
  <c r="E12" i="3"/>
  <c r="H11" i="3"/>
  <c r="D11" i="3"/>
  <c r="H10" i="3"/>
  <c r="H9" i="3"/>
  <c r="E9" i="3"/>
  <c r="H8" i="3"/>
  <c r="E8" i="3"/>
  <c r="G7" i="3"/>
  <c r="F7" i="3"/>
  <c r="B2" i="3"/>
  <c r="B1" i="3"/>
  <c r="C45" i="2"/>
  <c r="G5" i="2"/>
  <c r="F5" i="2"/>
  <c r="E5" i="2"/>
  <c r="D5" i="2"/>
  <c r="C5" i="2"/>
  <c r="O6" i="19" l="1"/>
  <c r="O34" i="19" s="1"/>
  <c r="C15" i="26"/>
  <c r="C16" i="29"/>
  <c r="H37" i="4"/>
  <c r="H30" i="3"/>
  <c r="F53" i="3"/>
  <c r="D68" i="3"/>
  <c r="E15" i="3"/>
  <c r="E30" i="3"/>
  <c r="C58" i="14"/>
  <c r="H7" i="3"/>
  <c r="G36" i="3"/>
  <c r="C26" i="8"/>
  <c r="C35" i="22"/>
  <c r="G53" i="3"/>
  <c r="G69" i="3" s="1"/>
  <c r="H47" i="3"/>
  <c r="C49" i="14"/>
  <c r="F69" i="3"/>
  <c r="H68" i="3"/>
  <c r="C13" i="8"/>
  <c r="E13" i="8" s="1"/>
  <c r="C11" i="14" s="1"/>
  <c r="C24" i="8"/>
  <c r="E24" i="8" s="1"/>
  <c r="C7" i="3"/>
  <c r="E10" i="3"/>
  <c r="D7" i="3"/>
  <c r="D38" i="3"/>
  <c r="E42" i="3"/>
  <c r="C54" i="14"/>
  <c r="C68" i="3"/>
  <c r="E63" i="3"/>
  <c r="C63" i="14"/>
  <c r="C62" i="14" s="1"/>
  <c r="C22" i="8"/>
  <c r="C27" i="14"/>
  <c r="E29" i="8"/>
  <c r="E51" i="3"/>
  <c r="C6" i="4"/>
  <c r="E11" i="4"/>
  <c r="C21" i="8"/>
  <c r="C34" i="8"/>
  <c r="C30" i="8"/>
  <c r="C28" i="8" s="1"/>
  <c r="C32" i="8"/>
  <c r="C20" i="10"/>
  <c r="E32" i="3"/>
  <c r="C33" i="8" s="1"/>
  <c r="H53" i="3"/>
  <c r="C10" i="8"/>
  <c r="E10" i="8" s="1"/>
  <c r="C8" i="14" s="1"/>
  <c r="E36" i="8"/>
  <c r="C34" i="14"/>
  <c r="C9" i="8"/>
  <c r="F36" i="3"/>
  <c r="C11" i="3"/>
  <c r="E16" i="3"/>
  <c r="C17" i="8" s="1"/>
  <c r="C33" i="14"/>
  <c r="E35" i="8"/>
  <c r="C46" i="14"/>
  <c r="F43" i="4"/>
  <c r="E39" i="4"/>
  <c r="C37" i="4"/>
  <c r="E37" i="4" s="1"/>
  <c r="D17" i="5"/>
  <c r="D19" i="11"/>
  <c r="D16" i="11"/>
  <c r="I22" i="15"/>
  <c r="Q22" i="15"/>
  <c r="Q19" i="19"/>
  <c r="C19" i="3"/>
  <c r="E19" i="3" s="1"/>
  <c r="C41" i="3"/>
  <c r="E46" i="3"/>
  <c r="D13" i="4"/>
  <c r="E20" i="4"/>
  <c r="C27" i="28"/>
  <c r="D22" i="28"/>
  <c r="S21" i="15"/>
  <c r="U21" i="16"/>
  <c r="H8" i="17"/>
  <c r="C22" i="17"/>
  <c r="G8" i="31"/>
  <c r="C28" i="28"/>
  <c r="E32" i="5"/>
  <c r="C30" i="5"/>
  <c r="E30" i="5" s="1"/>
  <c r="E9" i="5"/>
  <c r="C8" i="5"/>
  <c r="E8" i="5" s="1"/>
  <c r="D9" i="11"/>
  <c r="D8" i="11"/>
  <c r="D12" i="11"/>
  <c r="D11" i="11"/>
  <c r="D17" i="11"/>
  <c r="H14" i="17"/>
  <c r="H23" i="18"/>
  <c r="F25" i="18"/>
  <c r="C10" i="20"/>
  <c r="C26" i="19"/>
  <c r="C7" i="19"/>
  <c r="C6" i="19" s="1"/>
  <c r="C34" i="19" s="1"/>
  <c r="G26" i="19"/>
  <c r="I26" i="19" s="1"/>
  <c r="G7" i="19"/>
  <c r="C8" i="22"/>
  <c r="T14" i="16"/>
  <c r="T21" i="16" s="1"/>
  <c r="V14" i="16"/>
  <c r="V21" i="16" s="1"/>
  <c r="G22" i="17"/>
  <c r="H16" i="17"/>
  <c r="H20" i="17"/>
  <c r="E21" i="18"/>
  <c r="J7" i="19"/>
  <c r="J6" i="19" s="1"/>
  <c r="J34" i="19" s="1"/>
  <c r="P7" i="19"/>
  <c r="P6" i="19" s="1"/>
  <c r="P34" i="19" s="1"/>
  <c r="C11" i="22"/>
  <c r="H34" i="4"/>
  <c r="D21" i="11"/>
  <c r="E14" i="22"/>
  <c r="D14" i="22"/>
  <c r="C18" i="22"/>
  <c r="G20" i="22"/>
  <c r="G34" i="22"/>
  <c r="E22" i="23"/>
  <c r="G5" i="6"/>
  <c r="C6" i="10"/>
  <c r="F12" i="13"/>
  <c r="C22" i="15"/>
  <c r="K22" i="15"/>
  <c r="S8" i="15"/>
  <c r="S22" i="15" s="1"/>
  <c r="D21" i="16"/>
  <c r="F22" i="17"/>
  <c r="H17" i="17"/>
  <c r="H21" i="17"/>
  <c r="E16" i="18"/>
  <c r="I27" i="19"/>
  <c r="G13" i="22"/>
  <c r="G31" i="22"/>
  <c r="G24" i="22" s="1"/>
  <c r="F24" i="22"/>
  <c r="G15" i="22"/>
  <c r="H8" i="23"/>
  <c r="G22" i="23"/>
  <c r="C13" i="27"/>
  <c r="C10" i="27" s="1"/>
  <c r="C18" i="27" s="1"/>
  <c r="G21" i="24"/>
  <c r="E22" i="24"/>
  <c r="H7" i="25"/>
  <c r="H12" i="25"/>
  <c r="H28" i="25"/>
  <c r="G8" i="29"/>
  <c r="O8" i="29"/>
  <c r="E8" i="28"/>
  <c r="C21" i="24"/>
  <c r="D34" i="25"/>
  <c r="H8" i="25"/>
  <c r="H24" i="25"/>
  <c r="J8" i="29"/>
  <c r="G19" i="22"/>
  <c r="G18" i="22" s="1"/>
  <c r="H13" i="24"/>
  <c r="E34" i="25"/>
  <c r="H31" i="25"/>
  <c r="C33" i="25"/>
  <c r="H33" i="25" s="1"/>
  <c r="K8" i="29"/>
  <c r="R8" i="29"/>
  <c r="L8" i="29"/>
  <c r="H23" i="24"/>
  <c r="H16" i="25"/>
  <c r="F8" i="29"/>
  <c r="N8" i="29"/>
  <c r="S8" i="29"/>
  <c r="H8" i="29"/>
  <c r="Q8" i="29"/>
  <c r="C14" i="28"/>
  <c r="P8" i="29"/>
  <c r="I8" i="28"/>
  <c r="M8" i="28"/>
  <c r="E8" i="29" l="1"/>
  <c r="H22" i="17"/>
  <c r="H25" i="18"/>
  <c r="C44" i="2"/>
  <c r="C46" i="2" s="1"/>
  <c r="E11" i="3"/>
  <c r="D30" i="8"/>
  <c r="D28" i="8" s="1"/>
  <c r="C28" i="14"/>
  <c r="C19" i="14"/>
  <c r="E21" i="8"/>
  <c r="C20" i="8"/>
  <c r="C43" i="4"/>
  <c r="E6" i="4"/>
  <c r="C33" i="22"/>
  <c r="F33" i="22"/>
  <c r="C13" i="28"/>
  <c r="D8" i="28"/>
  <c r="G6" i="19"/>
  <c r="G34" i="19" s="1"/>
  <c r="I7" i="19"/>
  <c r="I6" i="19" s="1"/>
  <c r="E13" i="4"/>
  <c r="E17" i="5"/>
  <c r="D14" i="5"/>
  <c r="E14" i="5" s="1"/>
  <c r="H43" i="4"/>
  <c r="F45" i="4"/>
  <c r="D43" i="4"/>
  <c r="D45" i="4" s="1"/>
  <c r="E34" i="8"/>
  <c r="C32" i="14"/>
  <c r="C20" i="14"/>
  <c r="E22" i="8"/>
  <c r="C67" i="14"/>
  <c r="D36" i="3"/>
  <c r="C25" i="8"/>
  <c r="E26" i="8"/>
  <c r="M8" i="29"/>
  <c r="I8" i="29"/>
  <c r="J15" i="22"/>
  <c r="G14" i="22"/>
  <c r="C34" i="25"/>
  <c r="H34" i="25" s="1"/>
  <c r="C45" i="14"/>
  <c r="E9" i="8"/>
  <c r="C30" i="14"/>
  <c r="E32" i="8"/>
  <c r="C31" i="8"/>
  <c r="F31" i="8" s="1"/>
  <c r="C50" i="14"/>
  <c r="F28" i="8"/>
  <c r="C15" i="10"/>
  <c r="C41" i="14"/>
  <c r="C40" i="14" s="1"/>
  <c r="C11" i="8"/>
  <c r="E11" i="8" s="1"/>
  <c r="C9" i="14" s="1"/>
  <c r="C22" i="14"/>
  <c r="F24" i="8"/>
  <c r="H69" i="3"/>
  <c r="H14" i="23"/>
  <c r="H22" i="24"/>
  <c r="G11" i="22"/>
  <c r="G21" i="22" s="1"/>
  <c r="H21" i="24"/>
  <c r="C26" i="20"/>
  <c r="C22" i="28"/>
  <c r="C53" i="3"/>
  <c r="Q18" i="19"/>
  <c r="Q7" i="19"/>
  <c r="Q6" i="19" s="1"/>
  <c r="Q34" i="19" s="1"/>
  <c r="D41" i="3"/>
  <c r="E41" i="3" s="1"/>
  <c r="C16" i="8"/>
  <c r="E17" i="8"/>
  <c r="H36" i="3"/>
  <c r="H21" i="23"/>
  <c r="C22" i="23"/>
  <c r="C31" i="14"/>
  <c r="D33" i="8"/>
  <c r="D31" i="8" s="1"/>
  <c r="E33" i="8"/>
  <c r="C26" i="14"/>
  <c r="E68" i="3"/>
  <c r="E38" i="3"/>
  <c r="C37" i="14" s="1"/>
  <c r="D53" i="3"/>
  <c r="C36" i="3"/>
  <c r="E7" i="3"/>
  <c r="C8" i="8" l="1"/>
  <c r="H45" i="4"/>
  <c r="C45" i="4"/>
  <c r="E43" i="4"/>
  <c r="E36" i="3"/>
  <c r="E53" i="3"/>
  <c r="C69" i="3"/>
  <c r="C32" i="20"/>
  <c r="C29" i="14"/>
  <c r="C11" i="20"/>
  <c r="I34" i="19"/>
  <c r="E20" i="8"/>
  <c r="F20" i="8" s="1"/>
  <c r="E30" i="8"/>
  <c r="E28" i="8" s="1"/>
  <c r="C18" i="14"/>
  <c r="C12" i="8"/>
  <c r="E12" i="8" s="1"/>
  <c r="C52" i="14"/>
  <c r="C12" i="10"/>
  <c r="C29" i="10" s="1"/>
  <c r="C7" i="14"/>
  <c r="C6" i="14" s="1"/>
  <c r="E8" i="8"/>
  <c r="D69" i="3"/>
  <c r="C15" i="14"/>
  <c r="C14" i="14" s="1"/>
  <c r="E16" i="8"/>
  <c r="F16" i="8" s="1"/>
  <c r="H22" i="23"/>
  <c r="C48" i="2"/>
  <c r="D22" i="23"/>
  <c r="E31" i="8"/>
  <c r="C24" i="14"/>
  <c r="C23" i="14" s="1"/>
  <c r="E25" i="8"/>
  <c r="F25" i="8" s="1"/>
  <c r="D8" i="29"/>
  <c r="C8" i="28"/>
  <c r="G35" i="22"/>
  <c r="D37" i="8"/>
  <c r="C37" i="8" l="1"/>
  <c r="C8" i="29"/>
  <c r="C35" i="14"/>
  <c r="F12" i="8"/>
  <c r="C10" i="14"/>
  <c r="B7" i="12"/>
  <c r="C9" i="2"/>
  <c r="C10" i="2"/>
  <c r="C20" i="2" s="1"/>
  <c r="C8" i="2"/>
  <c r="C18" i="2" s="1"/>
  <c r="E45" i="4"/>
  <c r="E69" i="3"/>
  <c r="G33" i="22"/>
  <c r="G37" i="22" s="1"/>
  <c r="E37" i="8"/>
  <c r="F8" i="8"/>
  <c r="C68" i="14"/>
  <c r="C5" i="9" l="1"/>
  <c r="C49" i="2"/>
  <c r="C50" i="2" s="1"/>
  <c r="G39" i="22"/>
  <c r="B6" i="12"/>
  <c r="B16" i="12"/>
  <c r="B14" i="12" s="1"/>
  <c r="C31" i="20"/>
  <c r="C34" i="20" s="1"/>
  <c r="C19" i="2"/>
  <c r="K6" i="31"/>
  <c r="B21" i="12" l="1"/>
  <c r="B22" i="12"/>
  <c r="B23" i="12"/>
  <c r="L6" i="31"/>
  <c r="C51" i="2"/>
  <c r="C8" i="9"/>
  <c r="C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1C2DEA21-C6D1-4BD1-B328-F903BB548ED3}">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<sst xmlns="http://schemas.openxmlformats.org/spreadsheetml/2006/main" count="1657" uniqueCount="1040">
  <si>
    <t>პილარ 3-ის კვარტალური ანგარიშგება</t>
  </si>
  <si>
    <t>ბანკის სრული დასახელება</t>
  </si>
  <si>
    <t>სს სილქ ბანკი</t>
  </si>
  <si>
    <t>ბანკის სამეთვალყურეო საბჭოს თავმჯდომარე</t>
  </si>
  <si>
    <t>ი. მანაგაძე</t>
  </si>
  <si>
    <t>ბანკის გენერალური დირექტორი</t>
  </si>
  <si>
    <t>ა.ხოროშვილი</t>
  </si>
  <si>
    <t>ბანკის ვებ-გვერდი</t>
  </si>
  <si>
    <t>www.silkbank.ge</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</si>
  <si>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</si>
  <si>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</si>
  <si>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</si>
  <si>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ძირითადი მაჩვენებლები</t>
  </si>
  <si>
    <t>საბალანსო უწყისი</t>
  </si>
  <si>
    <t>მოგება-ზარალის ანგარიშგება</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</si>
  <si>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</si>
  <si>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</si>
  <si>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</si>
  <si>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</si>
  <si>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</si>
  <si>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საზედამხედველო კაპიტალი</t>
  </si>
  <si>
    <t>9.1</t>
  </si>
  <si>
    <t>კაპიტალის ადეკვატურობის მოთხოვნები</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</si>
  <si>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</si>
  <si>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</si>
  <si>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</si>
  <si>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</si>
  <si>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</si>
  <si>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</si>
  <si>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</si>
  <si>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</si>
  <si>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</si>
  <si>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საკრედიტო გადაფასების კორექტირება</t>
  </si>
  <si>
    <t>წმინდა სტაბილური დაფინანსების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</si>
  <si>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</si>
  <si>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</si>
  <si>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</si>
  <si>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</si>
  <si>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</si>
  <si>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</si>
  <si>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</si>
  <si>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</si>
  <si>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</si>
  <si>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</si>
  <si>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ბანკი:</t>
  </si>
  <si>
    <t>თარიღი:</t>
  </si>
  <si>
    <t>ცხრილი 1</t>
  </si>
  <si>
    <t>ფასს-ის საფუძელზე დაანგარიშებული რიცხვები</t>
  </si>
  <si>
    <t>N</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</si>
  <si>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</si>
  <si>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</si>
  <si>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</si>
  <si>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</si>
  <si>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</si>
  <si>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</si>
  <si>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</si>
  <si>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</si>
  <si>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</si>
  <si>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</si>
  <si>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 xml:space="preserve">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</si>
  <si>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</si>
  <si>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</si>
  <si>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</si>
  <si>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</si>
  <si>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</si>
  <si>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t>-</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</si>
  <si>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</si>
  <si>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</si>
  <si>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</si>
  <si>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</si>
  <si>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</si>
  <si>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</si>
  <si>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</si>
  <si>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</si>
  <si>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</si>
  <si>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</si>
  <si>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</si>
  <si>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</si>
  <si>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</si>
  <si>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</si>
  <si>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</si>
  <si>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</si>
  <si>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</si>
  <si>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</si>
  <si>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</si>
  <si>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</si>
  <si>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</si>
  <si>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</si>
  <si>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</si>
  <si>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</si>
  <si>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</si>
  <si>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ფინანსური მდგომარეობის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</si>
  <si>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</si>
  <si>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</si>
  <si>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</si>
  <si>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</si>
  <si>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</si>
  <si>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</si>
  <si>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</si>
  <si>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</si>
  <si>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</si>
  <si>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</si>
  <si>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</si>
  <si>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</si>
  <si>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</si>
  <si>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</si>
  <si>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</si>
  <si>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</si>
  <si>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</si>
  <si>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</si>
  <si>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</si>
  <si>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</si>
  <si>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</si>
  <si>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</si>
  <si>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</si>
  <si>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</si>
  <si>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</si>
  <si>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</si>
  <si>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</si>
  <si>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</si>
  <si>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</si>
  <si>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</si>
  <si>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სხვა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</si>
  <si>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</si>
  <si>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</si>
  <si>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</si>
  <si>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</si>
  <si>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</si>
  <si>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</si>
  <si>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</si>
  <si>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</si>
  <si>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</si>
  <si>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</si>
  <si>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</si>
  <si>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</si>
  <si>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</si>
  <si>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</si>
  <si>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</si>
  <si>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</si>
  <si>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</si>
  <si>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</si>
  <si>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</si>
  <si>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</si>
  <si>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ჩვეულებრივი აქციები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</si>
  <si>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</si>
  <si>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</si>
  <si>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</si>
  <si>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</si>
  <si>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</si>
  <si>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</si>
  <si>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</si>
  <si>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</si>
  <si>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</si>
  <si>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</si>
  <si>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</si>
  <si>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</si>
  <si>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</si>
  <si>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</si>
  <si>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*კომერციული ბანკების საქმიანობის შესახებ კანონით განსაზღვრული სააქციო კაპიტალი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</si>
  <si>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</si>
  <si>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</si>
  <si>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</si>
  <si>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</si>
  <si>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</si>
  <si>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</si>
  <si>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</si>
  <si>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</si>
  <si>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</si>
  <si>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</si>
  <si>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</si>
  <si>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</si>
  <si>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</si>
  <si>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</si>
  <si>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</si>
  <si>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</si>
  <si>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</si>
  <si>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</si>
  <si>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</si>
  <si>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</si>
  <si>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</si>
  <si>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</si>
  <si>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</si>
  <si>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</si>
  <si>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</si>
  <si>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</si>
  <si>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</si>
  <si>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</si>
  <si>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</si>
  <si>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</si>
  <si>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</si>
  <si>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</si>
  <si>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</si>
  <si>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</si>
  <si>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</si>
  <si>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</si>
  <si>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</si>
  <si>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</si>
  <si>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</si>
  <si>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</si>
  <si>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</si>
  <si>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</si>
  <si>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</si>
  <si>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</si>
  <si>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</si>
  <si>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</si>
  <si>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</si>
  <si>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</si>
  <si>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</si>
  <si>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</si>
  <si>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</si>
  <si>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</si>
  <si>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</si>
  <si>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</si>
  <si>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</si>
  <si>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</si>
  <si>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</si>
  <si>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</si>
  <si>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სხვა</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</si>
  <si>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</si>
  <si>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</si>
  <si>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</si>
  <si>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</si>
  <si>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</si>
  <si>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</si>
  <si>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</si>
  <si>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</si>
  <si>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</si>
  <si>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</si>
  <si>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</si>
  <si>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</si>
  <si>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</si>
  <si>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</si>
  <si>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</si>
  <si>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</si>
  <si>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</si>
  <si>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</si>
  <si>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</si>
  <si>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</si>
  <si>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5</t>
  </si>
  <si>
    <t>ლარებით</t>
  </si>
  <si>
    <t>საკრედიტო რისკი მიხედვით შეწონილი რისკის პოზიციები</t>
  </si>
  <si>
    <t>საბალანსო ელემენტები</t>
  </si>
  <si>
    <t>1.1.1</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</si>
  <si>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</si>
  <si>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</si>
  <si>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</si>
  <si>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</si>
  <si>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</si>
  <si>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ცხრილი 6</t>
  </si>
  <si>
    <t>სამეთვალყურეო საბჭოს შემადგენლობა</t>
  </si>
  <si>
    <t>დამოუკიდებლობის სტატუსი</t>
  </si>
  <si>
    <t>ირაკლი მანაგაძე</t>
  </si>
  <si>
    <t>დამოუკიდებელი თავმჯდომარე</t>
  </si>
  <si>
    <t>ვასილ კენკიშვილი</t>
  </si>
  <si>
    <t>არადამოუკიდებელ წევრი</t>
  </si>
  <si>
    <t>არჩილ ლურსმანაშვილი</t>
  </si>
  <si>
    <t>მზია ქოქუაშვილი</t>
  </si>
  <si>
    <t>დამოუკიდებელი წევრი</t>
  </si>
  <si>
    <t>ნანა ჩხობაძე</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</si>
  <si>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</si>
  <si>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</si>
  <si>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ალექსი ხოროშვილი</t>
  </si>
  <si>
    <t>გენერალური დირექტორი</t>
  </si>
  <si>
    <t>გიორგი ღიბრაძე</t>
  </si>
  <si>
    <t>იურიდიული დირექტორი</t>
  </si>
  <si>
    <t>ნათია მერაბიშვილი</t>
  </si>
  <si>
    <t>ოპერაციების მართვის დირექტორი</t>
  </si>
  <si>
    <t>ირაკლი ბენდელიანი</t>
  </si>
  <si>
    <t>ინფორმაციული ტექნოლოგიების დირექტორი</t>
  </si>
  <si>
    <t>გიორგი კალოიანი</t>
  </si>
  <si>
    <t>რისკების დირექტორი</t>
  </si>
  <si>
    <t>დავით ნინიძე</t>
  </si>
  <si>
    <t>პროდუქტებისა და ინოვაციების დირექტორი</t>
  </si>
  <si>
    <t>საწესდებო კაპიტალის 1% და მეტი წილის მფლობელი აქციონერების ჩამონათვალი წილების მითითებით</t>
  </si>
  <si>
    <t>სილქ როუდ გრუპ ჰოლდინგ (მალტა) ლიმიტედ, მალტა</t>
  </si>
  <si>
    <t>შპს პარტომტა</t>
  </si>
  <si>
    <t>სს სილქ ჰოლდინგი</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</si>
  <si>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</si>
  <si>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გიორგი რამიშვილი</t>
  </si>
  <si>
    <t>ალექსი თოფურია</t>
  </si>
  <si>
    <t>დევიდ ფრანც ბორგერი, გერმანია</t>
  </si>
  <si>
    <t>აქციებით შეზღუდული კერძო კომპანია ბრეიტენბერგ პრაივიტ ლიმიტედ, სინგაპური</t>
  </si>
  <si>
    <t>2.1.1</t>
  </si>
  <si>
    <t xml:space="preserve"> ერკინ ტატიშევი, ყაზახეთი</t>
  </si>
  <si>
    <t>ალექსანდრე ხეთაგური</t>
  </si>
  <si>
    <t>ცხრილი 7</t>
  </si>
  <si>
    <t>a</t>
  </si>
  <si>
    <t>b</t>
  </si>
  <si>
    <t>c</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</si>
  <si>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</si>
  <si>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</si>
  <si>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</si>
  <si>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</si>
  <si>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</si>
  <si>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</si>
  <si>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</si>
  <si>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</si>
  <si>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</si>
  <si>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</si>
  <si>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</si>
  <si>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</si>
  <si>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</si>
  <si>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</si>
  <si>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</si>
  <si>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</si>
  <si>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</si>
  <si>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</si>
  <si>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</si>
  <si>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</si>
  <si>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</si>
  <si>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</si>
  <si>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</si>
  <si>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</si>
  <si>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</si>
  <si>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</si>
  <si>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</si>
  <si>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</si>
  <si>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</si>
  <si>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</si>
  <si>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</si>
  <si>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</si>
  <si>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</si>
  <si>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</si>
  <si>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</si>
  <si>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</si>
  <si>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</si>
  <si>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</si>
  <si>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</si>
  <si>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</si>
  <si>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</si>
  <si>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</si>
  <si>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</si>
  <si>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</si>
  <si>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</si>
  <si>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</si>
  <si>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</si>
  <si>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</si>
  <si>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</si>
  <si>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</si>
  <si>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</si>
  <si>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</si>
  <si>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</si>
  <si>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</si>
  <si>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</si>
  <si>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</si>
  <si>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</si>
  <si>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</si>
  <si>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</si>
  <si>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</si>
  <si>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</si>
  <si>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</si>
  <si>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</si>
  <si>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</si>
  <si>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</si>
  <si>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</si>
  <si>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</si>
  <si>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</si>
  <si>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</si>
  <si>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</si>
  <si>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</si>
  <si>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</si>
  <si>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</si>
  <si>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</si>
  <si>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</si>
  <si>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</si>
  <si>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</si>
  <si>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</si>
  <si>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</si>
  <si>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</si>
  <si>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</si>
  <si>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</si>
  <si>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</si>
  <si>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</si>
  <si>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</si>
  <si>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</si>
  <si>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</si>
  <si>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</si>
  <si>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6</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</si>
  <si>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</si>
  <si>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</si>
  <si>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</si>
  <si>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</si>
  <si>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theme="1"/>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</si>
  <si>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</si>
  <si>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</si>
  <si>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</si>
  <si>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</si>
  <si>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</si>
  <si>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</si>
  <si>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</si>
  <si>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</si>
  <si>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</si>
  <si>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</si>
  <si>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</si>
  <si>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</si>
  <si>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</si>
  <si>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</si>
  <si>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</si>
  <si>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</si>
  <si>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</si>
  <si>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</si>
  <si>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</si>
  <si>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</si>
  <si>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</si>
  <si>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</si>
  <si>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</si>
  <si>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</si>
  <si>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</si>
  <si>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</si>
  <si>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</si>
  <si>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</si>
  <si>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</si>
  <si>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</si>
  <si>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</si>
  <si>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</si>
  <si>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</si>
  <si>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</si>
  <si>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 xml:space="preserve"> ცხრილი 9 (Capital), N32</t>
  </si>
  <si>
    <t>სააქციო კაპიტალი</t>
  </si>
  <si>
    <t xml:space="preserve"> ცხრილი 9 (Capital), N7</t>
  </si>
  <si>
    <t xml:space="preserve"> ცხრილი 9 (Capital), N6</t>
  </si>
  <si>
    <t>სულ საკუთარი კაპიტალი</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</si>
  <si>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</si>
  <si>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</si>
  <si>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d</t>
  </si>
  <si>
    <t>e</t>
  </si>
  <si>
    <t>f</t>
  </si>
  <si>
    <t>g</t>
  </si>
  <si>
    <t>h</t>
  </si>
  <si>
    <t>i</t>
  </si>
  <si>
    <t>j</t>
  </si>
  <si>
    <t>k</t>
  </si>
  <si>
    <t>l</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</si>
  <si>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</si>
  <si>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</si>
  <si>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</si>
  <si>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</si>
  <si>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</si>
  <si>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</si>
  <si>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</si>
  <si>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</si>
  <si>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</si>
  <si>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</si>
  <si>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</si>
  <si>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</si>
  <si>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</si>
  <si>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</si>
  <si>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</si>
  <si>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</si>
  <si>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</si>
  <si>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</si>
  <si>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</si>
  <si>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</si>
  <si>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</si>
  <si>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</si>
  <si>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</si>
  <si>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</si>
  <si>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</si>
  <si>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</si>
  <si>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</si>
  <si>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</si>
  <si>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</si>
  <si>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</si>
  <si>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</si>
  <si>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</si>
  <si>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</si>
  <si>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</si>
  <si>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</si>
  <si>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</si>
  <si>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</si>
  <si>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</si>
  <si>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</si>
  <si>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</si>
  <si>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</si>
  <si>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</si>
  <si>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</si>
  <si>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</si>
  <si>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</si>
  <si>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</si>
  <si>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</si>
  <si>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</si>
  <si>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</si>
  <si>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</si>
  <si>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</si>
  <si>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</si>
  <si>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</si>
  <si>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</si>
  <si>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</si>
  <si>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</si>
  <si>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</si>
  <si>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</si>
  <si>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</si>
  <si>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</si>
  <si>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</si>
  <si>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</si>
  <si>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</si>
  <si>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</si>
  <si>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</si>
  <si>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</si>
  <si>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</si>
  <si>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</si>
  <si>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</si>
  <si>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</si>
  <si>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</si>
  <si>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</si>
  <si>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</si>
  <si>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</si>
  <si>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</si>
  <si>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</si>
  <si>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</si>
  <si>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</si>
  <si>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</si>
  <si>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</si>
  <si>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</si>
  <si>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</si>
  <si>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</si>
  <si>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</si>
  <si>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</si>
  <si>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</si>
  <si>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</si>
  <si>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</si>
  <si>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</si>
  <si>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</si>
  <si>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</si>
  <si>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</si>
  <si>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</si>
  <si>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</si>
  <si>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</si>
  <si>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</si>
  <si>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</si>
  <si>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ცხრილი 15.1</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</si>
  <si>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</si>
  <si>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</si>
  <si>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</si>
  <si>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</si>
  <si>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</si>
  <si>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</si>
  <si>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კონტრაჰენტის საკრედიტო რისკის დებულებით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</si>
  <si>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</si>
  <si>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</si>
  <si>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</si>
  <si>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</si>
  <si>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</si>
  <si>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</si>
  <si>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</si>
  <si>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</si>
  <si>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</si>
  <si>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</si>
  <si>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</si>
  <si>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</si>
  <si>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</si>
  <si>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</si>
  <si>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</si>
  <si>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</si>
  <si>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</si>
  <si>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</si>
  <si>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</si>
  <si>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</si>
  <si>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</si>
  <si>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</si>
  <si>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</si>
  <si>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</si>
  <si>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</si>
  <si>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</si>
  <si>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</si>
  <si>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</si>
  <si>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</si>
  <si>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</si>
  <si>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</si>
  <si>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</si>
  <si>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</si>
  <si>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</si>
  <si>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</si>
  <si>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</si>
  <si>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</si>
  <si>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</si>
  <si>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</si>
  <si>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</si>
  <si>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</si>
  <si>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</si>
  <si>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</si>
  <si>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</si>
  <si>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</si>
  <si>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</si>
  <si>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</si>
  <si>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</si>
  <si>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</si>
  <si>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</si>
  <si>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</si>
  <si>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</si>
  <si>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</si>
  <si>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</si>
  <si>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</si>
  <si>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</si>
  <si>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</si>
  <si>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</si>
  <si>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</si>
  <si>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</si>
  <si>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</si>
  <si>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</si>
  <si>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</si>
  <si>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</si>
  <si>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</si>
  <si>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</si>
  <si>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</si>
  <si>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</si>
  <si>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</si>
  <si>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ვადაგადაცილებული სესხები*</t>
  </si>
  <si>
    <t>სხვა ერთეულები:</t>
  </si>
  <si>
    <t>ცხრილი 18</t>
  </si>
  <si>
    <t>ა</t>
  </si>
  <si>
    <t>ბ</t>
  </si>
  <si>
    <t>გ</t>
  </si>
  <si>
    <t>დ</t>
  </si>
  <si>
    <t>ე</t>
  </si>
  <si>
    <t>ვ</t>
  </si>
  <si>
    <t xml:space="preserve">                                                                             საბალანსო აქტივები                                                                                                         
                                                                                                                                                                                                                                                                                                            რისკის კლასები</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</si>
  <si>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</si>
  <si>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</si>
  <si>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</si>
  <si>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</si>
  <si>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</si>
  <si>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</si>
  <si>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</si>
  <si>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</si>
  <si>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მათ შორის: სესხები</t>
  </si>
  <si>
    <t>მათ შორის: სავალო ფასიანი ქაღალდები</t>
  </si>
  <si>
    <t>ცხრილი 19</t>
  </si>
  <si>
    <t xml:space="preserve">                                                                               საბალანსო აქტივები
                                                                                                                                                                                                             სექტორი დაფარვის წყაროს/კონტრაგენტის ტიპის მიხედვით</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</si>
  <si>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</si>
  <si>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</si>
  <si>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</si>
  <si>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</si>
  <si>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</si>
  <si>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</si>
  <si>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სამომხმარებლო სესხები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</si>
  <si>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</si>
  <si>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</si>
  <si>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</si>
  <si>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</si>
  <si>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</si>
  <si>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</si>
  <si>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</si>
  <si>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</si>
  <si>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</si>
  <si>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</si>
  <si>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</si>
  <si>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</si>
  <si>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</si>
  <si>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</si>
  <si>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</si>
  <si>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</si>
  <si>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</si>
  <si>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</si>
  <si>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 xml:space="preserve">აქტივები, რომლებზეც არ არის აღრიცხული დაფარვის წყაროს სექტორი </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</si>
  <si>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</si>
  <si>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</si>
  <si>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</si>
  <si>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</si>
  <si>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</si>
  <si>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</si>
  <si>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</si>
  <si>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</si>
  <si>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</si>
  <si>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</si>
  <si>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</si>
  <si>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</si>
  <si>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</si>
  <si>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</si>
  <si>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</si>
  <si>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</si>
  <si>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</si>
  <si>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</si>
  <si>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</si>
  <si>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</si>
  <si>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</si>
  <si>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</si>
  <si>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</si>
  <si>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</si>
  <si>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</si>
  <si>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</si>
  <si>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</si>
  <si>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</si>
  <si>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</si>
  <si>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</si>
  <si>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</si>
  <si>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</si>
  <si>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</si>
  <si>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</si>
  <si>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</si>
  <si>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</si>
  <si>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</si>
  <si>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</si>
  <si>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</si>
  <si>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</si>
  <si>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</si>
  <si>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</si>
  <si>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</si>
  <si>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</si>
  <si>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</si>
  <si>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</si>
  <si>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</si>
  <si>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</si>
  <si>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</si>
  <si>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</si>
  <si>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გარესაბალანსო ვალდებულებები</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</si>
  <si>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</si>
  <si>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</si>
  <si>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სესხების მთლიანი ღირებულება</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</si>
  <si>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</si>
  <si>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</si>
  <si>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</si>
  <si>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</si>
  <si>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</si>
  <si>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</si>
  <si>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</si>
  <si>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</si>
  <si>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</si>
  <si>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</si>
  <si>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</si>
  <si>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</si>
  <si>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</si>
  <si>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</si>
  <si>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</si>
  <si>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მოსალოდნელი საკრედიტო ზარალი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</si>
  <si>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</si>
  <si>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</si>
  <si>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</si>
  <si>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</si>
  <si>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</si>
  <si>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</si>
  <si>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</si>
  <si>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</si>
  <si>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</si>
  <si>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</si>
  <si>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</si>
  <si>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24</t>
  </si>
  <si>
    <t xml:space="preserve">                                                                                                     სესხები
                                                                                                                                                                                                             სექტორი დაფარვის წყაროს მიხედვით</t>
  </si>
  <si>
    <t>მოსალოდნელი საკრედიტო ზარალი</t>
  </si>
  <si>
    <t xml:space="preserve">სესხები, რომლებზეც არ არის აღრიცხული დაფარვის წყაროს სექტორი </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</si>
  <si>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</si>
  <si>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</si>
  <si>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</si>
  <si>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</si>
  <si>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</si>
  <si>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</si>
  <si>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</si>
  <si>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</si>
  <si>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</si>
  <si>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</si>
  <si>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</si>
  <si>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</si>
  <si>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</si>
  <si>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</si>
  <si>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</si>
  <si>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</si>
  <si>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</si>
  <si>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</si>
  <si>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</si>
  <si>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26</t>
  </si>
  <si>
    <t>საცალო პროდუქტები</t>
  </si>
  <si>
    <t>სესხების ძირი თანხა</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</si>
  <si>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</si>
  <si>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</si>
  <si>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</si>
  <si>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</si>
  <si>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</si>
  <si>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სატრანსპორტო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</si>
  <si>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</si>
  <si>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</si>
  <si>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</si>
  <si>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</si>
  <si>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</si>
  <si>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</si>
  <si>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</si>
  <si>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</si>
  <si>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</si>
  <si>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</si>
  <si>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</si>
  <si>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</si>
  <si>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</si>
  <si>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</si>
  <si>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</si>
  <si>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განმარტებები გვერდისთვის 1. Key Ratios, ცხრილი 1</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</si>
  <si>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</si>
  <si>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(6)-(24) სტრიქონების შესაბამისი მონაცემები უნდა გამოისახოს პროცენტულად.</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</si>
  <si>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</si>
  <si>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</si>
  <si>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</si>
  <si>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</si>
  <si>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</si>
  <si>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</si>
  <si>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</si>
  <si>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</si>
  <si>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</si>
  <si>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</si>
  <si>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</si>
  <si>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</si>
  <si>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</si>
  <si>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</si>
  <si>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</si>
  <si>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</si>
  <si>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</si>
  <si>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</si>
  <si>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</si>
  <si>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</si>
  <si>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</si>
  <si>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</si>
  <si>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</si>
  <si>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</si>
  <si>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</si>
  <si>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</si>
  <si>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</si>
  <si>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</si>
  <si>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განმარტებები გვერდისთვის 4. off-balance, ცხრილი 4</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</si>
  <si>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</si>
  <si>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</si>
  <si>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</si>
  <si>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</si>
  <si>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</si>
  <si>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</si>
  <si>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</si>
  <si>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</si>
  <si>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</si>
  <si>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</si>
  <si>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</si>
  <si>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</si>
  <si>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</si>
  <si>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</si>
  <si>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</si>
  <si>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</si>
  <si>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</si>
  <si>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</si>
  <si>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</si>
  <si>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</si>
  <si>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</si>
  <si>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განმარტებები გვერდისთვის 5. RWA, ცხრილი 5</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</si>
  <si>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</si>
  <si>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</si>
  <si>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</si>
  <si>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</si>
  <si>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</si>
  <si>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</si>
  <si>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</si>
  <si>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</si>
  <si>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</si>
  <si>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</si>
  <si>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</si>
  <si>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</si>
  <si>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</si>
  <si>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</si>
  <si>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</si>
  <si>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</si>
  <si>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განმარტებები გვერდისთვის 8. LI2, ცხრილი 8</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</si>
  <si>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</si>
  <si>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</si>
  <si>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</si>
  <si>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</si>
  <si>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</si>
  <si>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</si>
  <si>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</si>
  <si>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</si>
  <si>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</si>
  <si>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</si>
  <si>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</si>
  <si>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განმარტებები გვერდისთვის 9. Capital, ცხრილი 9</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</si>
  <si>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</si>
  <si>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</si>
  <si>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</si>
  <si>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გვერდისთვის 10. CC2, ცხრილი 10</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</si>
  <si>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</si>
  <si>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</si>
  <si>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</si>
  <si>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</si>
  <si>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</si>
  <si>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</si>
  <si>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</si>
  <si>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</si>
  <si>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</si>
  <si>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</si>
  <si>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</si>
  <si>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</si>
  <si>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განმარტებები გვერდისთვის "11. CRWA", ცხრილი 11</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</si>
  <si>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</si>
  <si>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</si>
  <si>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</si>
  <si>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</si>
  <si>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</si>
  <si>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</si>
  <si>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</si>
  <si>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</si>
  <si>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</si>
  <si>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</si>
  <si>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</si>
  <si>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</si>
  <si>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</si>
  <si>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</si>
  <si>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</si>
  <si>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</si>
  <si>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გვერდისათვის " .LCR", ცხრილი 14</t>
  </si>
  <si>
    <t>სვეტები</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</si>
  <si>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</si>
  <si>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</si>
  <si>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უზრუნველყოფილი დაფინანსება (A.2)</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</si>
  <si>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</si>
  <si>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</si>
  <si>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 გარდა ზემოაღნიშნულ კატეგორიებში შემავალი მუხლებისა</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</si>
  <si>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</si>
  <si>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განმარტებები გვერდისთვის 15. CCR, ცხრილი 15</t>
  </si>
  <si>
    <t>ცხრილში მოთხოვნილი ინფორმაცია შეესაბამება კონტრაჰენტის საკრედიტო რისკის დებულებას.</t>
  </si>
  <si>
    <t>განმარტებები გვერდისთვის 16. NSFR ცხრილი 16</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</si>
  <si>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</si>
  <si>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</si>
  <si>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</si>
  <si>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განმარტებები გვერდებისთვის  "17-26"</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</si>
  <si>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</si>
  <si>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</si>
  <si>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</si>
  <si>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მთლიანი  ღირებულება -  აქტივების ღირებულება IFRS 9-ით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</si>
  <si>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</si>
  <si>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</si>
  <si>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</si>
  <si>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უმოქმედო აქტივი/სესხი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</si>
  <si>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</si>
  <si>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</si>
  <si>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</si>
  <si>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</si>
  <si>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</si>
  <si>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</si>
  <si>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</si>
  <si>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</si>
  <si>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</si>
  <si>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</si>
  <si>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</si>
  <si>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</si>
  <si>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</si>
  <si>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</si>
  <si>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</si>
  <si>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</si>
  <si>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</si>
  <si>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</si>
  <si>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</si>
  <si>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</si>
  <si>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</si>
  <si>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</si>
  <si>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</si>
  <si>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</si>
  <si>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</si>
  <si>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</si>
  <si>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</si>
  <si>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</si>
  <si>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</si>
  <si>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განმარტებები გვერდებისთვის  "17"</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</si>
  <si>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</si>
  <si>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</si>
  <si>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</si>
  <si>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ცხრილი "18 -19"</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</si>
  <si>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</si>
  <si>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IFRS 9-ის შესაბამისად. არ შედის მოსალოდნელი საკრედიტო ზარალი სესხების აუთვისებელ ნაწილზე</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</si>
  <si>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</si>
  <si>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</si>
  <si>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ცხრილი "20"</t>
  </si>
  <si>
    <t>მოსალოდენლი საკრედიტო ზარალი</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</si>
  <si>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</si>
  <si>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ცხრილი "21"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</si>
  <si>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</si>
  <si>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1</t>
  </si>
  <si>
    <t>უმოქმედო სესხების საწყისი ბალანსი</t>
  </si>
  <si>
    <t>უმოქმედოდ კლასიფიცირებული სესხების ზრდა, საკრედიტო რისკის დონის ზრდის შედეგად</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</si>
  <si>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</si>
  <si>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</si>
  <si>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</si>
  <si>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</si>
  <si>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</si>
  <si>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</si>
  <si>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7</t>
  </si>
  <si>
    <t>უმოქმედოდ კლასიფიცირებული სესხების ჩამოწერის გზით</t>
  </si>
  <si>
    <t>8</t>
  </si>
  <si>
    <t>უმოქმედოდ კლასიფიცირებული სესხების შემცირება, უზრუნველყოფის დასაკუთრების გზით</t>
  </si>
  <si>
    <t>9</t>
  </si>
  <si>
    <t>უმოქმედოდ კლასიფიცირებული სესხების შემცირება, სესხების გაყიდვის გზით</t>
  </si>
  <si>
    <t>10</t>
  </si>
  <si>
    <t>სხვა ბალანსის რეკონსილაციისთვის საჭირო გატარებები</t>
  </si>
  <si>
    <t>11</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</si>
  <si>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</si>
  <si>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12</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</si>
  <si>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</si>
  <si>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</si>
  <si>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</si>
  <si>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</si>
  <si>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</si>
  <si>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</si>
  <si>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</si>
  <si>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</si>
  <si>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</si>
  <si>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</si>
  <si>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</si>
  <si>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</si>
  <si>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</si>
  <si>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</si>
  <si>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</si>
  <si>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</si>
  <si>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</si>
  <si>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</si>
  <si>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</si>
  <si>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</si>
  <si>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</si>
  <si>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</si>
  <si>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</si>
  <si>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</si>
  <si>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</si>
  <si>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</si>
  <si>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</si>
  <si>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</si>
  <si>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"25"</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</si>
  <si>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</si>
  <si>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"26"</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</si>
  <si>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</si>
  <si>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</si>
  <si>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</si>
  <si>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</si>
  <si>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</si>
  <si>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</si>
  <si>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</si>
  <si>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</si>
  <si>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</si>
  <si>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</si>
  <si>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</si>
  <si>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</si>
  <si>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</si>
  <si>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</si>
  <si>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მიმდინარე საკონტრაქტო ძირი თანხა</t>
  </si>
  <si>
    <t>სესხების მთლიანი ღირებულება მოსალოდენლი საკრედიტო ზარალის დაკლებამდე.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</si>
  <si>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</si>
  <si>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პორტფელში არსებული სესხების რაოდენობა. რაოდენობაში არ გაითვლაისწინება სესხები 0 ნაშთით.</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</si>
  <si>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</si>
  <si>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</si>
  <si>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სესხის ძირი თანხის მიხედვით დათვლილი საშუალო შეწონილი ნომინალური საპროცენტო განაკვეთი.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</si>
  <si>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</si>
  <si>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 xml:space="preserve"> ცხრილი 9 (Capital), N15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</si>
</sst>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mmm\-yy;@"/>
    <numFmt numFmtId="165" formatCode="#,##0_ ;[Red]\-#,##0\ "/>
    <numFmt numFmtId="166" formatCode="0.0%"/>
    <numFmt numFmtId="167" formatCode="_(* #,##0_);_(* \(#,##0\);_(* &quot;-&quot;??_);_(@_)"/>
    <numFmt numFmtId="168" formatCode="_(#,##0_);_(\(#,##0\);_(\ \-\ _);_(@_)"/>
    <numFmt numFmtId="169" formatCode="_-* #,##0\ _€_-;\-* #,##0\ _€_-;_-* &quot;-&quot;??\ _€_-;_-@_-"/>
    <numFmt numFmtId="170" formatCode="#,##0.0"/>
    <numFmt numFmtId="171" formatCode="_-* #,##0.00_-;\-* #,##0.00_-;_-* &quot;-&quot;??_-;_-@_-"/>
  </numFmts>
  <fonts count="9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name val="Arial"/>
      <family val="2"/>
    </font>
    <font>
      <b/>
      <sz val="11"/>
      <name val="Sylfaen"/>
      <family val="1"/>
    </font>
    <font>
      <sz val="10"/>
      <color theme="1"/>
      <name val="Sylfaen"/>
      <family val="1"/>
    </font>
    <font>
      <sz val="10"/>
      <name val="Calibri"/>
      <family val="2"/>
      <scheme val="minor"/>
    </font>
    <font>
      <sz val="10"/>
      <name val="Sylfaen"/>
      <family val="1"/>
    </font>
    <font>
      <sz val="11"/>
      <color theme="1"/>
      <name val="Sylfaen"/>
      <family val="1"/>
    </font>
    <font>
      <b/>
      <i/>
      <sz val="10"/>
      <color theme="1"/>
      <name val="Sylfaen"/>
      <family val="1"/>
    </font>
    <font>
      <u/>
      <sz val="10"/>
      <color indexed="12"/>
      <name val="Arial"/>
      <family val="2"/>
    </font>
    <font>
      <sz val="10"/>
      <color theme="1"/>
      <name val="Calibri"/>
      <family val="1"/>
      <scheme val="minor"/>
    </font>
    <font>
      <b/>
      <sz val="10"/>
      <name val="Sylfaen"/>
      <family val="1"/>
    </font>
    <font>
      <b/>
      <sz val="10"/>
      <name val="Calibri"/>
      <family val="2"/>
      <scheme val="minor"/>
    </font>
    <font>
      <b/>
      <i/>
      <sz val="10"/>
      <color theme="1"/>
      <name val="Calibri"/>
      <family val="2"/>
      <scheme val="minor"/>
    </font>
    <font>
      <sz val="10"/>
      <name val="MS Sans Serif"/>
      <family val="2"/>
    </font>
    <font>
      <b/>
      <i/>
      <sz val="10"/>
      <name val="Calibri"/>
      <family val="2"/>
      <scheme val="minor"/>
    </font>
    <font>
      <sz val="10"/>
      <color rgb="FF333333"/>
      <name val="Sylfaen"/>
      <family val="1"/>
    </font>
    <font>
      <sz val="10"/>
      <color rgb="FFFF0000"/>
      <name val="Calibri"/>
      <family val="2"/>
      <scheme val="minor"/>
    </font>
    <font>
      <b/>
      <sz val="12"/>
      <color theme="1"/>
      <name val="Calibri"/>
      <family val="2"/>
      <scheme val="minor"/>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8"/>
      <color theme="1"/>
      <name val="Verdana"/>
      <family val="2"/>
    </font>
    <font>
      <b/>
      <sz val="11"/>
      <color rgb="FFFF0000"/>
      <name val="Calibri"/>
      <family val="2"/>
      <scheme val="minor"/>
    </font>
    <font>
      <sz val="11"/>
      <name val="Calibri"/>
      <family val="2"/>
      <charset val="204"/>
      <scheme val="minor"/>
    </font>
    <font>
      <i/>
      <sz val="11"/>
      <name val="Calibri"/>
      <family val="2"/>
      <scheme val="minor"/>
    </font>
    <font>
      <i/>
      <sz val="11"/>
      <name val="Calibri"/>
      <family val="2"/>
      <charset val="204"/>
      <scheme val="minor"/>
    </font>
    <font>
      <sz val="8"/>
      <color theme="1"/>
      <name val="Calibri"/>
      <family val="2"/>
      <scheme val="minor"/>
    </font>
    <font>
      <b/>
      <sz val="10"/>
      <color theme="1"/>
      <name val="Calibri"/>
      <family val="2"/>
      <scheme val="minor"/>
    </font>
    <font>
      <i/>
      <sz val="10"/>
      <name val="Sylfaen"/>
      <family val="1"/>
    </font>
    <font>
      <sz val="10"/>
      <color theme="1"/>
      <name val="Segoe UI"/>
      <family val="2"/>
    </font>
    <font>
      <sz val="10"/>
      <color theme="1"/>
      <name val="Times New Roman"/>
      <family val="1"/>
    </font>
    <font>
      <sz val="10"/>
      <name val="Arial"/>
      <family val="2"/>
      <charset val="204"/>
    </font>
    <font>
      <sz val="10"/>
      <name val="Geo_Arial"/>
      <family val="2"/>
    </font>
    <font>
      <sz val="10"/>
      <color rgb="FFFF0000"/>
      <name val="Sylfaen"/>
      <family val="1"/>
    </font>
    <font>
      <b/>
      <sz val="10"/>
      <color rgb="FFFF0000"/>
      <name val="Calibri"/>
      <family val="2"/>
      <scheme val="minor"/>
    </font>
    <font>
      <b/>
      <sz val="10"/>
      <name val="Calibri"/>
      <family val="1"/>
      <scheme val="minor"/>
    </font>
    <font>
      <sz val="10"/>
      <name val="Calibri"/>
      <family val="1"/>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Calibri"/>
      <family val="2"/>
      <scheme val="minor"/>
    </font>
    <font>
      <i/>
      <vertAlign val="superscript"/>
      <sz val="9"/>
      <name val="Calibri"/>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b/>
      <sz val="10"/>
      <color theme="1"/>
      <name val="Sylfaen"/>
      <family val="1"/>
    </font>
    <font>
      <i/>
      <sz val="10"/>
      <color theme="1"/>
      <name val="Sylfaen"/>
      <family val="1"/>
    </font>
    <font>
      <i/>
      <sz val="11"/>
      <color theme="1"/>
      <name val="Calibri"/>
      <family val="2"/>
      <scheme val="minor"/>
    </font>
    <font>
      <b/>
      <sz val="10"/>
      <color rgb="FFFF0000"/>
      <name val="Sylfaen"/>
      <family val="1"/>
    </font>
    <font>
      <sz val="10"/>
      <name val="SPKolheti"/>
      <family val="1"/>
    </font>
    <font>
      <sz val="9"/>
      <color theme="1"/>
      <name val="Calibri"/>
      <family val="2"/>
      <scheme val="minor"/>
    </font>
    <font>
      <i/>
      <sz val="10"/>
      <color theme="1"/>
      <name val="Calibri"/>
      <family val="2"/>
      <scheme val="minor"/>
    </font>
    <font>
      <b/>
      <sz val="11"/>
      <name val="Calibri"/>
      <family val="2"/>
      <scheme val="minor"/>
    </font>
    <font>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b/>
      <sz val="9"/>
      <name val="Arial"/>
      <family val="2"/>
    </font>
    <font>
      <b/>
      <sz val="10"/>
      <name val="Arial"/>
      <family val="2"/>
    </font>
    <font>
      <sz val="9"/>
      <name val="Arial"/>
      <family val="2"/>
    </font>
    <font>
      <sz val="9"/>
      <name val="Calibri"/>
      <family val="2"/>
    </font>
    <font>
      <b/>
      <sz val="9"/>
      <name val="Calibri"/>
      <family val="2"/>
    </font>
    <font>
      <sz val="11"/>
      <color indexed="8"/>
      <name val="Calibri"/>
      <family val="2"/>
    </font>
    <font>
      <u/>
      <sz val="1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sz val="9"/>
      <color rgb="FFFF0000"/>
      <name val="Sylfaen"/>
      <family val="1"/>
    </font>
    <font>
      <i/>
      <sz val="9"/>
      <name val="Calibri"/>
      <family val="1"/>
      <scheme val="minor"/>
    </font>
    <font>
      <b/>
      <sz val="9"/>
      <name val="Calibri"/>
      <family val="1"/>
      <scheme val="minor"/>
    </font>
    <font>
      <b/>
      <sz val="9"/>
      <color rgb="FFFF0000"/>
      <name val="Sylfaen"/>
      <family val="1"/>
    </font>
    <font>
      <b/>
      <u/>
      <sz val="9"/>
      <color theme="1"/>
      <name val="Sylfaen"/>
      <family val="1"/>
    </font>
    <font>
      <sz val="9"/>
      <color theme="1"/>
      <name val="Calibri"/>
      <family val="1"/>
      <scheme val="minor"/>
    </font>
    <font>
      <b/>
      <sz val="8"/>
      <name val="Sylfaen"/>
      <family val="1"/>
    </font>
    <font>
      <sz val="9"/>
      <color rgb="FFFF0000"/>
      <name val="Calibri"/>
      <family val="1"/>
      <scheme val="minor"/>
    </font>
    <font>
      <sz val="8"/>
      <name val="Sylfaen"/>
      <family val="1"/>
    </font>
    <font>
      <sz val="8"/>
      <color theme="1"/>
      <name val="Sylfaen"/>
      <family val="1"/>
    </font>
    <font>
      <sz val="8"/>
      <name val="Calibri"/>
      <family val="2"/>
    </font>
    <font>
      <b/>
      <i/>
      <u/>
      <sz val="8"/>
      <name val="Sylfaen"/>
      <family val="1"/>
    </font>
    <font>
      <sz val="8"/>
      <color rgb="FFFF0000"/>
      <name val="Sylfaen"/>
      <family val="1"/>
    </font>
    <font>
      <u/>
      <sz val="8"/>
      <name val="Sylfaen"/>
      <family val="1"/>
    </font>
    <font>
      <sz val="9"/>
      <color rgb="FF000000"/>
      <name val="Sylfaen"/>
      <family val="1"/>
    </font>
  </fonts>
  <fills count="20">
    <fill>
      <patternFill patternType="none"/>
    </fill>
    <fill>
      <patternFill patternType="gray125"/>
    </fill>
    <fill>
      <patternFill patternType="solid">
        <fgColor theme="0"/>
        <bgColor indexed="64"/>
      </patternFill>
    </fill>
    <fill>
      <patternFill patternType="lightGray">
        <fgColor indexed="22"/>
      </patternFill>
    </fill>
    <fill>
      <patternFill patternType="lightGray">
        <fgColor indexed="22"/>
        <bgColor theme="0" tint="-4.9989318521683403E-2"/>
      </patternFill>
    </fill>
    <fill>
      <patternFill patternType="solid">
        <fgColor rgb="FFFFFFFF"/>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4" tint="0.7999816888943144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bottom/>
      <diagonal/>
    </border>
    <border>
      <left style="thin">
        <color theme="6" tint="-0.499984740745262"/>
      </left>
      <right style="thin">
        <color theme="6" tint="-0.499984740745262"/>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style="medium">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s>
  <cellStyleXfs count="2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5" fillId="0" borderId="0"/>
    <xf numFmtId="0" fontId="5" fillId="0" borderId="0"/>
    <xf numFmtId="164" fontId="17" fillId="3" borderId="0"/>
    <xf numFmtId="0" fontId="5" fillId="0" borderId="0"/>
    <xf numFmtId="0" fontId="38" fillId="0" borderId="0"/>
    <xf numFmtId="0" fontId="38" fillId="0" borderId="0"/>
    <xf numFmtId="43" fontId="1" fillId="0" borderId="0" applyFont="0" applyFill="0" applyBorder="0" applyAlignment="0" applyProtection="0"/>
    <xf numFmtId="0" fontId="1" fillId="0" borderId="0"/>
    <xf numFmtId="0" fontId="1" fillId="0" borderId="0"/>
    <xf numFmtId="0" fontId="5" fillId="0" borderId="0"/>
    <xf numFmtId="0" fontId="5" fillId="0" borderId="0"/>
    <xf numFmtId="43" fontId="5" fillId="0" borderId="0" applyFont="0" applyFill="0" applyBorder="0" applyAlignment="0" applyProtection="0"/>
    <xf numFmtId="0" fontId="1" fillId="0" borderId="0"/>
    <xf numFmtId="0" fontId="1" fillId="0" borderId="0"/>
    <xf numFmtId="0" fontId="5" fillId="0" borderId="0"/>
    <xf numFmtId="0" fontId="5" fillId="0" borderId="0">
      <alignment vertical="center"/>
    </xf>
    <xf numFmtId="43" fontId="5" fillId="0" borderId="0" applyFont="0" applyFill="0" applyBorder="0" applyAlignment="0" applyProtection="0"/>
    <xf numFmtId="43" fontId="75" fillId="0" borderId="0" applyFont="0" applyFill="0" applyBorder="0" applyAlignment="0" applyProtection="0"/>
    <xf numFmtId="0" fontId="5" fillId="0" borderId="0"/>
    <xf numFmtId="171" fontId="1" fillId="0" borderId="0" applyFont="0" applyFill="0" applyBorder="0" applyAlignment="0" applyProtection="0"/>
    <xf numFmtId="0" fontId="5" fillId="0" borderId="0"/>
  </cellStyleXfs>
  <cellXfs count="973">
    <xf numFmtId="0" fontId="0" fillId="0" borderId="0" xfId="0"/>
    <xf numFmtId="0" fontId="4" fillId="0" borderId="1" xfId="0" applyFont="1" applyBorder="1"/>
    <xf numFmtId="0" fontId="6" fillId="0" borderId="1" xfId="4" applyFont="1" applyBorder="1" applyAlignment="1">
      <alignment horizontal="center" vertical="center"/>
    </xf>
    <xf numFmtId="0" fontId="7" fillId="0" borderId="1" xfId="0" applyFont="1" applyBorder="1"/>
    <xf numFmtId="0" fontId="8" fillId="2" borderId="1" xfId="4" applyFont="1" applyFill="1" applyBorder="1" applyAlignment="1">
      <alignment horizontal="right" indent="1"/>
    </xf>
    <xf numFmtId="0" fontId="9" fillId="2" borderId="1" xfId="4" applyFont="1" applyFill="1" applyBorder="1" applyAlignment="1">
      <alignment horizontal="left" wrapText="1" indent="1"/>
    </xf>
    <xf numFmtId="0" fontId="10" fillId="0" borderId="1" xfId="0" applyFont="1" applyBorder="1"/>
    <xf numFmtId="0" fontId="1" fillId="0" borderId="0" xfId="0" applyFont="1"/>
    <xf numFmtId="0" fontId="9" fillId="0" borderId="1" xfId="4" applyFont="1" applyBorder="1" applyAlignment="1">
      <alignment horizontal="left" wrapText="1" indent="1"/>
    </xf>
    <xf numFmtId="0" fontId="8" fillId="2" borderId="2" xfId="4" applyFont="1" applyFill="1" applyBorder="1" applyAlignment="1">
      <alignment horizontal="right" indent="1"/>
    </xf>
    <xf numFmtId="0" fontId="9" fillId="0" borderId="2" xfId="4" applyFont="1" applyBorder="1" applyAlignment="1">
      <alignment horizontal="left" wrapText="1" indent="1"/>
    </xf>
    <xf numFmtId="0" fontId="11" fillId="0" borderId="0" xfId="0" applyFont="1" applyAlignment="1">
      <alignment wrapText="1"/>
    </xf>
    <xf numFmtId="0" fontId="8" fillId="2" borderId="1" xfId="4" applyFont="1" applyFill="1" applyBorder="1"/>
    <xf numFmtId="0" fontId="12" fillId="0" borderId="1" xfId="3" applyFill="1" applyBorder="1" applyAlignment="1" applyProtection="1"/>
    <xf numFmtId="0" fontId="12" fillId="0" borderId="1" xfId="3" applyFill="1" applyBorder="1" applyAlignment="1" applyProtection="1">
      <alignment horizontal="left" vertical="center" wrapText="1"/>
    </xf>
    <xf numFmtId="49" fontId="13" fillId="0" borderId="1" xfId="0" applyNumberFormat="1" applyFont="1" applyBorder="1" applyAlignment="1">
      <alignment horizontal="right" vertical="center" wrapText="1"/>
    </xf>
    <xf numFmtId="0" fontId="12" fillId="0" borderId="1" xfId="3" applyFill="1" applyBorder="1" applyAlignment="1" applyProtection="1">
      <alignment horizontal="left" vertical="center"/>
    </xf>
    <xf numFmtId="0" fontId="12" fillId="0" borderId="1" xfId="3" applyFill="1" applyBorder="1" applyAlignment="1" applyProtection="1">
      <alignment horizontal="left" vertical="top" wrapText="1"/>
    </xf>
    <xf numFmtId="0" fontId="4" fillId="0" borderId="0" xfId="0" applyFont="1"/>
    <xf numFmtId="0" fontId="9" fillId="0" borderId="0" xfId="5" applyFont="1"/>
    <xf numFmtId="43" fontId="8" fillId="0" borderId="0" xfId="1" applyFont="1"/>
    <xf numFmtId="0" fontId="8" fillId="0" borderId="0" xfId="0" applyFont="1"/>
    <xf numFmtId="14" fontId="4" fillId="0" borderId="0" xfId="0" applyNumberFormat="1" applyFont="1" applyAlignment="1">
      <alignment horizontal="left"/>
    </xf>
    <xf numFmtId="0" fontId="9" fillId="0" borderId="5" xfId="0" applyFont="1" applyBorder="1"/>
    <xf numFmtId="0" fontId="14" fillId="0" borderId="5" xfId="0" applyFont="1" applyBorder="1" applyAlignment="1">
      <alignment horizontal="center"/>
    </xf>
    <xf numFmtId="0" fontId="15" fillId="0" borderId="5" xfId="0" applyFont="1" applyBorder="1" applyAlignment="1">
      <alignment horizontal="center" vertical="center"/>
    </xf>
    <xf numFmtId="0" fontId="9" fillId="0" borderId="9" xfId="0" applyFont="1" applyBorder="1" applyAlignment="1">
      <alignment horizontal="right" vertical="center" wrapText="1"/>
    </xf>
    <xf numFmtId="0" fontId="8" fillId="0" borderId="10" xfId="0" applyFont="1" applyBorder="1" applyAlignment="1">
      <alignment vertical="center" wrapTex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9" fillId="0" borderId="12" xfId="0" applyFont="1" applyBorder="1" applyAlignment="1">
      <alignment horizontal="center" vertical="center" wrapText="1"/>
    </xf>
    <xf numFmtId="0" fontId="15" fillId="0" borderId="1" xfId="0" applyFont="1" applyBorder="1" applyAlignment="1">
      <alignment horizontal="center" vertical="center" wrapText="1"/>
    </xf>
    <xf numFmtId="164" fontId="17" fillId="3" borderId="0" xfId="6"/>
    <xf numFmtId="164" fontId="17" fillId="3" borderId="13" xfId="6" applyBorder="1"/>
    <xf numFmtId="0" fontId="18" fillId="0" borderId="1" xfId="0" applyFont="1" applyBorder="1" applyAlignment="1">
      <alignment horizontal="left" vertical="center" wrapText="1"/>
    </xf>
    <xf numFmtId="0" fontId="9" fillId="0" borderId="12" xfId="0" applyFont="1" applyBorder="1" applyAlignment="1">
      <alignment horizontal="right" vertical="center" wrapText="1"/>
    </xf>
    <xf numFmtId="0" fontId="8" fillId="0" borderId="1" xfId="0" applyFont="1" applyBorder="1" applyAlignment="1">
      <alignment vertical="center" wrapText="1"/>
    </xf>
    <xf numFmtId="165" fontId="8" fillId="0" borderId="1" xfId="0" applyNumberFormat="1" applyFont="1" applyBorder="1" applyAlignment="1" applyProtection="1">
      <alignment vertical="center" wrapText="1"/>
      <protection locked="0"/>
    </xf>
    <xf numFmtId="165" fontId="4" fillId="0" borderId="1" xfId="0" applyNumberFormat="1" applyFont="1" applyBorder="1" applyAlignment="1" applyProtection="1">
      <alignment vertical="center" wrapText="1"/>
      <protection locked="0"/>
    </xf>
    <xf numFmtId="165" fontId="4" fillId="0" borderId="14" xfId="0" applyNumberFormat="1" applyFont="1" applyBorder="1" applyAlignment="1" applyProtection="1">
      <alignment vertical="center" wrapText="1"/>
      <protection locked="0"/>
    </xf>
    <xf numFmtId="164" fontId="17" fillId="4" borderId="15" xfId="6" applyFill="1" applyBorder="1"/>
    <xf numFmtId="164" fontId="17" fillId="4" borderId="16" xfId="6" applyFill="1" applyBorder="1"/>
    <xf numFmtId="164" fontId="17" fillId="4" borderId="17" xfId="6" applyFill="1" applyBorder="1"/>
    <xf numFmtId="165" fontId="8" fillId="0" borderId="1" xfId="0" applyNumberFormat="1" applyFont="1" applyBorder="1" applyAlignment="1" applyProtection="1">
      <alignment horizontal="right" vertical="center" wrapText="1"/>
      <protection locked="0"/>
    </xf>
    <xf numFmtId="164" fontId="17" fillId="4" borderId="3" xfId="6" applyFill="1" applyBorder="1"/>
    <xf numFmtId="164" fontId="17" fillId="4" borderId="4" xfId="6" applyFill="1" applyBorder="1"/>
    <xf numFmtId="164" fontId="17" fillId="4" borderId="18" xfId="6" applyFill="1" applyBorder="1"/>
    <xf numFmtId="164" fontId="17" fillId="4" borderId="19" xfId="6" applyFill="1" applyBorder="1"/>
    <xf numFmtId="164" fontId="17" fillId="4" borderId="20" xfId="6" applyFill="1" applyBorder="1"/>
    <xf numFmtId="164" fontId="17" fillId="4" borderId="21" xfId="6" applyFill="1" applyBorder="1"/>
    <xf numFmtId="10" fontId="4" fillId="0" borderId="1" xfId="2" applyNumberFormat="1" applyFont="1" applyFill="1" applyBorder="1" applyAlignment="1" applyProtection="1">
      <alignment horizontal="right" vertical="center" wrapText="1"/>
      <protection locked="0"/>
    </xf>
    <xf numFmtId="10" fontId="4" fillId="0" borderId="1" xfId="2" applyNumberFormat="1" applyFont="1" applyFill="1" applyBorder="1" applyAlignment="1" applyProtection="1">
      <alignment vertical="center" wrapText="1"/>
      <protection locked="0"/>
    </xf>
    <xf numFmtId="10" fontId="4" fillId="0" borderId="1" xfId="2" applyNumberFormat="1" applyFont="1" applyBorder="1" applyAlignment="1" applyProtection="1">
      <alignment vertical="center" wrapText="1"/>
      <protection locked="0"/>
    </xf>
    <xf numFmtId="10" fontId="4" fillId="0" borderId="15" xfId="2" applyNumberFormat="1" applyFont="1" applyFill="1" applyBorder="1" applyAlignment="1" applyProtection="1">
      <alignment horizontal="right" vertical="center" wrapText="1"/>
      <protection locked="0"/>
    </xf>
    <xf numFmtId="10" fontId="4" fillId="0" borderId="16" xfId="2" applyNumberFormat="1" applyFont="1" applyFill="1" applyBorder="1" applyAlignment="1" applyProtection="1">
      <alignment vertical="center" wrapText="1"/>
      <protection locked="0"/>
    </xf>
    <xf numFmtId="10" fontId="4" fillId="0" borderId="16" xfId="2" applyNumberFormat="1" applyFont="1" applyBorder="1" applyAlignment="1" applyProtection="1">
      <alignment vertical="center" wrapText="1"/>
      <protection locked="0"/>
    </xf>
    <xf numFmtId="0" fontId="9" fillId="5" borderId="12" xfId="0" applyFont="1" applyFill="1" applyBorder="1" applyAlignment="1">
      <alignment horizontal="right" vertical="center"/>
    </xf>
    <xf numFmtId="0" fontId="9" fillId="5" borderId="1" xfId="0" applyFont="1" applyFill="1" applyBorder="1" applyAlignment="1">
      <alignment vertical="center"/>
    </xf>
    <xf numFmtId="166" fontId="9" fillId="0" borderId="1" xfId="2" applyNumberFormat="1" applyFont="1" applyFill="1" applyBorder="1" applyAlignment="1" applyProtection="1">
      <alignment vertical="center"/>
      <protection locked="0"/>
    </xf>
    <xf numFmtId="166" fontId="19" fillId="5" borderId="1" xfId="2" applyNumberFormat="1" applyFont="1" applyFill="1" applyBorder="1" applyAlignment="1" applyProtection="1">
      <alignment vertical="center"/>
      <protection locked="0"/>
    </xf>
    <xf numFmtId="166" fontId="19" fillId="5" borderId="14" xfId="2" applyNumberFormat="1" applyFont="1" applyFill="1" applyBorder="1" applyAlignment="1" applyProtection="1">
      <alignment vertical="center"/>
      <protection locked="0"/>
    </xf>
    <xf numFmtId="166" fontId="19" fillId="0" borderId="1" xfId="2" applyNumberFormat="1" applyFont="1" applyFill="1" applyBorder="1" applyAlignment="1" applyProtection="1">
      <alignment vertical="center"/>
      <protection locked="0"/>
    </xf>
    <xf numFmtId="166" fontId="17" fillId="4" borderId="15" xfId="6" applyNumberFormat="1" applyFill="1" applyBorder="1"/>
    <xf numFmtId="166" fontId="17" fillId="4" borderId="16" xfId="6" applyNumberFormat="1" applyFill="1" applyBorder="1"/>
    <xf numFmtId="166" fontId="17" fillId="4" borderId="17" xfId="6" applyNumberFormat="1" applyFill="1" applyBorder="1"/>
    <xf numFmtId="166" fontId="9" fillId="5" borderId="1" xfId="2" applyNumberFormat="1" applyFont="1" applyFill="1" applyBorder="1" applyAlignment="1" applyProtection="1">
      <alignment vertical="center"/>
      <protection locked="0"/>
    </xf>
    <xf numFmtId="166" fontId="9" fillId="5" borderId="14" xfId="2" applyNumberFormat="1" applyFont="1" applyFill="1" applyBorder="1" applyAlignment="1" applyProtection="1">
      <alignment vertical="center"/>
      <protection locked="0"/>
    </xf>
    <xf numFmtId="165" fontId="9" fillId="5" borderId="1" xfId="0" applyNumberFormat="1" applyFont="1" applyFill="1" applyBorder="1" applyAlignment="1" applyProtection="1">
      <alignment vertical="center"/>
      <protection locked="0"/>
    </xf>
    <xf numFmtId="0" fontId="15" fillId="0" borderId="12" xfId="0" applyFont="1" applyBorder="1" applyAlignment="1">
      <alignment horizontal="center" vertical="center" wrapText="1"/>
    </xf>
    <xf numFmtId="0" fontId="9" fillId="0" borderId="1" xfId="0" applyFont="1" applyBorder="1" applyAlignment="1">
      <alignment horizontal="left" vertical="center" wrapText="1"/>
    </xf>
    <xf numFmtId="165" fontId="9" fillId="0" borderId="1" xfId="0" applyNumberFormat="1" applyFont="1" applyBorder="1" applyAlignment="1" applyProtection="1">
      <alignment vertical="center"/>
      <protection locked="0"/>
    </xf>
    <xf numFmtId="165" fontId="9" fillId="0" borderId="14" xfId="0" applyNumberFormat="1" applyFont="1" applyBorder="1" applyAlignment="1" applyProtection="1">
      <alignment vertical="center"/>
      <protection locked="0"/>
    </xf>
    <xf numFmtId="165" fontId="19" fillId="0" borderId="1" xfId="0" applyNumberFormat="1" applyFont="1" applyBorder="1" applyAlignment="1" applyProtection="1">
      <alignment vertical="center"/>
      <protection locked="0"/>
    </xf>
    <xf numFmtId="165" fontId="19" fillId="0" borderId="14" xfId="0" applyNumberFormat="1" applyFont="1" applyBorder="1" applyAlignment="1" applyProtection="1">
      <alignment vertical="center"/>
      <protection locked="0"/>
    </xf>
    <xf numFmtId="0" fontId="9" fillId="5" borderId="22" xfId="0" applyFont="1" applyFill="1" applyBorder="1" applyAlignment="1">
      <alignment horizontal="right" vertical="center"/>
    </xf>
    <xf numFmtId="0" fontId="9" fillId="5" borderId="2" xfId="0" applyFont="1" applyFill="1" applyBorder="1" applyAlignment="1">
      <alignment vertical="center"/>
    </xf>
    <xf numFmtId="166" fontId="9" fillId="0" borderId="14" xfId="2" applyNumberFormat="1" applyFont="1" applyFill="1" applyBorder="1" applyAlignment="1" applyProtection="1">
      <alignment vertical="center"/>
      <protection locked="0"/>
    </xf>
    <xf numFmtId="165" fontId="19" fillId="0" borderId="2" xfId="0" applyNumberFormat="1" applyFont="1" applyBorder="1" applyAlignment="1" applyProtection="1">
      <alignment vertical="center"/>
      <protection locked="0"/>
    </xf>
    <xf numFmtId="165" fontId="19" fillId="0" borderId="23" xfId="0" applyNumberFormat="1" applyFont="1" applyBorder="1" applyAlignment="1" applyProtection="1">
      <alignment vertical="center"/>
      <protection locked="0"/>
    </xf>
    <xf numFmtId="0" fontId="9" fillId="5" borderId="24" xfId="0" applyFont="1" applyFill="1" applyBorder="1" applyAlignment="1">
      <alignment horizontal="right" vertical="center"/>
    </xf>
    <xf numFmtId="165" fontId="9" fillId="5" borderId="25" xfId="0" applyNumberFormat="1" applyFont="1" applyFill="1" applyBorder="1" applyAlignment="1" applyProtection="1">
      <alignment vertical="center"/>
      <protection locked="0"/>
    </xf>
    <xf numFmtId="166" fontId="9" fillId="0" borderId="25" xfId="2" applyNumberFormat="1" applyFont="1" applyFill="1" applyBorder="1" applyAlignment="1" applyProtection="1">
      <alignment vertical="center"/>
      <protection locked="0"/>
    </xf>
    <xf numFmtId="166" fontId="19" fillId="0" borderId="25" xfId="2" applyNumberFormat="1" applyFont="1" applyFill="1" applyBorder="1" applyAlignment="1" applyProtection="1">
      <alignment vertical="center"/>
      <protection locked="0"/>
    </xf>
    <xf numFmtId="166" fontId="19" fillId="0" borderId="26" xfId="2" applyNumberFormat="1" applyFont="1" applyFill="1" applyBorder="1" applyAlignment="1" applyProtection="1">
      <alignment vertical="center"/>
      <protection locked="0"/>
    </xf>
    <xf numFmtId="0" fontId="9" fillId="0" borderId="0" xfId="0" applyFont="1" applyAlignment="1">
      <alignment horizontal="right"/>
    </xf>
    <xf numFmtId="167" fontId="20" fillId="0" borderId="0" xfId="1" applyNumberFormat="1" applyFont="1"/>
    <xf numFmtId="0" fontId="9" fillId="0" borderId="0" xfId="0" applyFont="1"/>
    <xf numFmtId="0" fontId="4" fillId="0" borderId="0" xfId="0" applyFont="1" applyAlignment="1">
      <alignment wrapText="1"/>
    </xf>
    <xf numFmtId="0" fontId="8" fillId="0" borderId="0" xfId="0" applyFont="1" applyAlignment="1">
      <alignment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xf>
    <xf numFmtId="0" fontId="22" fillId="2" borderId="1" xfId="7" applyFont="1" applyFill="1" applyBorder="1" applyAlignment="1">
      <alignment horizontal="left" vertical="center" wrapText="1"/>
    </xf>
    <xf numFmtId="0" fontId="23" fillId="0" borderId="1" xfId="7" applyFont="1" applyBorder="1" applyAlignment="1">
      <alignment horizontal="left" vertical="center" wrapText="1" indent="1"/>
    </xf>
    <xf numFmtId="167" fontId="4" fillId="0" borderId="1" xfId="1" applyNumberFormat="1" applyFont="1" applyBorder="1"/>
    <xf numFmtId="167" fontId="4" fillId="0" borderId="1" xfId="1" applyNumberFormat="1" applyFont="1" applyFill="1" applyBorder="1"/>
    <xf numFmtId="0" fontId="24" fillId="2" borderId="1" xfId="7" applyFont="1" applyFill="1" applyBorder="1" applyAlignment="1">
      <alignment horizontal="left" vertical="center" wrapText="1"/>
    </xf>
    <xf numFmtId="0" fontId="23" fillId="2" borderId="1" xfId="7" applyFont="1" applyFill="1" applyBorder="1" applyAlignment="1">
      <alignment horizontal="left" vertical="center" wrapText="1" indent="1"/>
    </xf>
    <xf numFmtId="0" fontId="22" fillId="0" borderId="29" xfId="0" applyFont="1" applyBorder="1" applyAlignment="1">
      <alignment horizontal="left" vertical="center" wrapText="1"/>
    </xf>
    <xf numFmtId="0" fontId="24" fillId="0" borderId="29" xfId="0" applyFont="1" applyBorder="1" applyAlignment="1">
      <alignment horizontal="left" vertical="center" wrapText="1"/>
    </xf>
    <xf numFmtId="0" fontId="25" fillId="2" borderId="29" xfId="0" applyFont="1" applyFill="1" applyBorder="1" applyAlignment="1">
      <alignment horizontal="left" vertical="center" wrapText="1" indent="1"/>
    </xf>
    <xf numFmtId="0" fontId="24" fillId="2" borderId="29" xfId="0" applyFont="1" applyFill="1" applyBorder="1" applyAlignment="1">
      <alignment horizontal="left" vertical="center" wrapText="1"/>
    </xf>
    <xf numFmtId="0" fontId="24" fillId="2" borderId="30" xfId="0" applyFont="1" applyFill="1" applyBorder="1" applyAlignment="1">
      <alignment horizontal="left" vertical="center" wrapText="1"/>
    </xf>
    <xf numFmtId="0" fontId="25" fillId="0" borderId="29" xfId="0" applyFont="1" applyBorder="1" applyAlignment="1">
      <alignment horizontal="left" vertical="center" wrapText="1" indent="1"/>
    </xf>
    <xf numFmtId="0" fontId="25" fillId="0" borderId="1" xfId="7" applyFont="1" applyBorder="1" applyAlignment="1">
      <alignment horizontal="left" vertical="center" wrapText="1" indent="1"/>
    </xf>
    <xf numFmtId="0" fontId="24" fillId="0" borderId="1" xfId="7" applyFont="1" applyBorder="1" applyAlignment="1">
      <alignment horizontal="left" vertical="center" wrapText="1"/>
    </xf>
    <xf numFmtId="0" fontId="26" fillId="0" borderId="1" xfId="7" applyFont="1" applyBorder="1" applyAlignment="1">
      <alignment horizontal="center" vertical="center" wrapText="1"/>
    </xf>
    <xf numFmtId="0" fontId="24" fillId="2" borderId="31" xfId="0" applyFont="1" applyFill="1" applyBorder="1" applyAlignment="1">
      <alignment horizontal="left" vertical="center" wrapText="1"/>
    </xf>
    <xf numFmtId="0" fontId="23" fillId="2" borderId="29" xfId="0" applyFont="1" applyFill="1" applyBorder="1" applyAlignment="1">
      <alignment horizontal="left" vertical="center" wrapText="1" indent="1"/>
    </xf>
    <xf numFmtId="0" fontId="23" fillId="0" borderId="29" xfId="0" applyFont="1" applyBorder="1" applyAlignment="1">
      <alignment horizontal="left" vertical="center" wrapText="1" indent="1"/>
    </xf>
    <xf numFmtId="0" fontId="23" fillId="0" borderId="30" xfId="0" applyFont="1" applyBorder="1" applyAlignment="1">
      <alignment horizontal="left" vertical="center" wrapText="1" indent="1"/>
    </xf>
    <xf numFmtId="0" fontId="2" fillId="0" borderId="0" xfId="0" applyFont="1" applyAlignment="1">
      <alignment horizontal="right"/>
    </xf>
    <xf numFmtId="43" fontId="0" fillId="0" borderId="1" xfId="1" applyFont="1" applyBorder="1"/>
    <xf numFmtId="43" fontId="4" fillId="0" borderId="1" xfId="1" applyFont="1" applyBorder="1"/>
    <xf numFmtId="0" fontId="27" fillId="0" borderId="1" xfId="0" applyFont="1" applyBorder="1" applyAlignment="1">
      <alignment horizontal="left"/>
    </xf>
    <xf numFmtId="0" fontId="24" fillId="0" borderId="1"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8" fillId="0" borderId="0" xfId="0" applyFont="1" applyAlignment="1">
      <alignment horizontal="left" vertical="center" wrapText="1"/>
    </xf>
    <xf numFmtId="0" fontId="24" fillId="0" borderId="34" xfId="0" applyFont="1" applyBorder="1" applyAlignment="1">
      <alignment horizontal="justify" vertical="center" wrapText="1"/>
    </xf>
    <xf numFmtId="0" fontId="23" fillId="0" borderId="31" xfId="0" applyFont="1" applyBorder="1" applyAlignment="1">
      <alignment horizontal="left" vertical="center" wrapText="1" indent="1"/>
    </xf>
    <xf numFmtId="0" fontId="24" fillId="0" borderId="29" xfId="0" applyFont="1" applyBorder="1" applyAlignment="1">
      <alignment horizontal="justify" vertical="center" wrapText="1"/>
    </xf>
    <xf numFmtId="43" fontId="0" fillId="0" borderId="1" xfId="1" applyFont="1" applyFill="1" applyBorder="1"/>
    <xf numFmtId="0" fontId="22" fillId="0" borderId="29" xfId="0" applyFont="1" applyBorder="1" applyAlignment="1">
      <alignment horizontal="justify" vertical="center" wrapText="1"/>
    </xf>
    <xf numFmtId="0" fontId="24" fillId="2" borderId="29" xfId="0" applyFont="1" applyFill="1" applyBorder="1" applyAlignment="1">
      <alignment horizontal="justify" vertical="center" wrapText="1"/>
    </xf>
    <xf numFmtId="0" fontId="24" fillId="0" borderId="30" xfId="0" applyFont="1" applyBorder="1" applyAlignment="1">
      <alignment horizontal="justify" vertical="center" wrapText="1"/>
    </xf>
    <xf numFmtId="0" fontId="24" fillId="0" borderId="31" xfId="0" applyFont="1" applyBorder="1" applyAlignment="1">
      <alignment horizontal="justify" vertical="center" wrapText="1"/>
    </xf>
    <xf numFmtId="0" fontId="24" fillId="0" borderId="1" xfId="7" applyFont="1" applyBorder="1" applyAlignment="1">
      <alignment horizontal="justify" vertical="center" wrapText="1"/>
    </xf>
    <xf numFmtId="0" fontId="25" fillId="0" borderId="35" xfId="0" applyFont="1" applyBorder="1" applyAlignment="1">
      <alignment horizontal="left" vertical="center" wrapText="1" indent="1"/>
    </xf>
    <xf numFmtId="0" fontId="22" fillId="0" borderId="29" xfId="0" applyFont="1" applyBorder="1" applyAlignment="1">
      <alignment vertical="center" wrapText="1"/>
    </xf>
    <xf numFmtId="0" fontId="24" fillId="0" borderId="29" xfId="0" applyFont="1" applyBorder="1" applyAlignment="1">
      <alignment vertical="center" wrapText="1"/>
    </xf>
    <xf numFmtId="0" fontId="24" fillId="0" borderId="1" xfId="7" applyFont="1" applyBorder="1" applyAlignment="1">
      <alignment vertical="center" wrapText="1"/>
    </xf>
    <xf numFmtId="0" fontId="14" fillId="0" borderId="11" xfId="0" applyFont="1" applyBorder="1" applyAlignment="1">
      <alignment horizontal="center"/>
    </xf>
    <xf numFmtId="0" fontId="9" fillId="0" borderId="14" xfId="0" applyFont="1" applyBorder="1" applyAlignment="1">
      <alignment horizontal="center" vertical="center" wrapText="1"/>
    </xf>
    <xf numFmtId="0" fontId="15" fillId="0" borderId="1" xfId="0" applyFont="1" applyBorder="1" applyAlignment="1">
      <alignment vertical="center" wrapText="1"/>
    </xf>
    <xf numFmtId="165" fontId="9" fillId="0" borderId="1" xfId="0" applyNumberFormat="1" applyFont="1" applyBorder="1" applyAlignment="1">
      <alignment horizontal="right"/>
    </xf>
    <xf numFmtId="165" fontId="9" fillId="6" borderId="1" xfId="0" applyNumberFormat="1" applyFont="1" applyFill="1" applyBorder="1" applyAlignment="1">
      <alignment horizontal="right"/>
    </xf>
    <xf numFmtId="165" fontId="9" fillId="6" borderId="14" xfId="0" applyNumberFormat="1" applyFont="1" applyFill="1" applyBorder="1" applyAlignment="1">
      <alignment horizontal="right"/>
    </xf>
    <xf numFmtId="165" fontId="0" fillId="0" borderId="0" xfId="0" applyNumberFormat="1"/>
    <xf numFmtId="0" fontId="8" fillId="0" borderId="1" xfId="0" applyFont="1" applyBorder="1" applyAlignment="1">
      <alignment horizontal="left" vertical="center" wrapText="1" indent="1"/>
    </xf>
    <xf numFmtId="0" fontId="3" fillId="0" borderId="1" xfId="0" applyFont="1" applyBorder="1" applyAlignment="1">
      <alignment vertical="center"/>
    </xf>
    <xf numFmtId="0" fontId="30" fillId="0" borderId="1" xfId="0" applyFont="1" applyBorder="1" applyAlignment="1" applyProtection="1">
      <alignment horizontal="left" vertical="center" indent="1"/>
      <protection locked="0"/>
    </xf>
    <xf numFmtId="0" fontId="31" fillId="0" borderId="1" xfId="0" applyFont="1" applyBorder="1" applyAlignment="1" applyProtection="1">
      <alignment horizontal="left" vertical="center" indent="3"/>
      <protection locked="0"/>
    </xf>
    <xf numFmtId="0" fontId="32" fillId="0" borderId="1" xfId="0" applyFont="1" applyBorder="1" applyAlignment="1" applyProtection="1">
      <alignment horizontal="left" vertical="center" indent="3"/>
      <protection locked="0"/>
    </xf>
    <xf numFmtId="0" fontId="3" fillId="0" borderId="1" xfId="0" applyFont="1" applyBorder="1"/>
    <xf numFmtId="165" fontId="9" fillId="0" borderId="0" xfId="0" applyNumberFormat="1" applyFont="1" applyAlignment="1">
      <alignment horizontal="right"/>
    </xf>
    <xf numFmtId="0" fontId="33" fillId="0" borderId="0" xfId="0" applyFont="1"/>
    <xf numFmtId="0" fontId="4" fillId="0" borderId="5" xfId="0" applyFont="1" applyBorder="1"/>
    <xf numFmtId="0" fontId="34" fillId="0" borderId="5" xfId="0" applyFont="1" applyBorder="1" applyAlignment="1">
      <alignment horizontal="center"/>
    </xf>
    <xf numFmtId="0" fontId="35" fillId="0" borderId="5" xfId="0" applyFont="1" applyBorder="1" applyAlignment="1">
      <alignment horizontal="center"/>
    </xf>
    <xf numFmtId="0" fontId="4" fillId="0" borderId="36" xfId="0" applyFont="1" applyBorder="1" applyAlignment="1">
      <alignment vertical="center" wrapText="1"/>
    </xf>
    <xf numFmtId="0" fontId="34" fillId="0" borderId="27" xfId="0" applyFont="1" applyBorder="1" applyAlignment="1">
      <alignment vertical="center" wrapText="1"/>
    </xf>
    <xf numFmtId="0" fontId="36" fillId="0" borderId="12" xfId="0" applyFont="1" applyBorder="1" applyAlignment="1">
      <alignment horizontal="center" vertical="center" wrapText="1"/>
    </xf>
    <xf numFmtId="0" fontId="4" fillId="0" borderId="1" xfId="0" applyFont="1" applyBorder="1" applyAlignment="1">
      <alignment vertical="center" wrapText="1"/>
    </xf>
    <xf numFmtId="3" fontId="37" fillId="6" borderId="1" xfId="0" applyNumberFormat="1" applyFont="1" applyFill="1" applyBorder="1" applyAlignment="1">
      <alignment vertical="center" wrapText="1"/>
    </xf>
    <xf numFmtId="3" fontId="37" fillId="6" borderId="15" xfId="0" applyNumberFormat="1" applyFont="1" applyFill="1" applyBorder="1" applyAlignment="1">
      <alignment vertical="center" wrapText="1"/>
    </xf>
    <xf numFmtId="3" fontId="37" fillId="6" borderId="14" xfId="0" applyNumberFormat="1" applyFont="1" applyFill="1" applyBorder="1" applyAlignment="1">
      <alignment vertical="center" wrapText="1"/>
    </xf>
    <xf numFmtId="3" fontId="37" fillId="6" borderId="17" xfId="0" applyNumberFormat="1" applyFont="1" applyFill="1" applyBorder="1" applyAlignment="1">
      <alignment vertical="center" wrapText="1"/>
    </xf>
    <xf numFmtId="14" fontId="8" fillId="2" borderId="1" xfId="8" quotePrefix="1" applyNumberFormat="1" applyFont="1" applyFill="1" applyBorder="1" applyAlignment="1" applyProtection="1">
      <alignment horizontal="left" vertical="center" wrapText="1" indent="2"/>
      <protection locked="0"/>
    </xf>
    <xf numFmtId="3" fontId="37" fillId="0" borderId="1" xfId="0" applyNumberFormat="1" applyFont="1" applyBorder="1" applyAlignment="1">
      <alignment vertical="center" wrapText="1"/>
    </xf>
    <xf numFmtId="3" fontId="37" fillId="0" borderId="15" xfId="0" applyNumberFormat="1" applyFont="1" applyBorder="1" applyAlignment="1">
      <alignment vertical="center" wrapText="1"/>
    </xf>
    <xf numFmtId="3" fontId="37" fillId="0" borderId="17" xfId="0" applyNumberFormat="1" applyFont="1" applyBorder="1" applyAlignment="1">
      <alignment vertical="center" wrapText="1"/>
    </xf>
    <xf numFmtId="14" fontId="8" fillId="2" borderId="1" xfId="8" quotePrefix="1" applyNumberFormat="1" applyFont="1" applyFill="1" applyBorder="1" applyAlignment="1" applyProtection="1">
      <alignment horizontal="left" vertical="center" wrapText="1" indent="3"/>
      <protection locked="0"/>
    </xf>
    <xf numFmtId="0" fontId="4" fillId="0" borderId="1" xfId="0" applyFont="1" applyBorder="1" applyAlignment="1">
      <alignment horizontal="left" vertical="center" wrapText="1" indent="2"/>
    </xf>
    <xf numFmtId="0" fontId="36" fillId="0" borderId="24" xfId="0" applyFont="1" applyBorder="1" applyAlignment="1">
      <alignment horizontal="center" vertical="center" wrapText="1"/>
    </xf>
    <xf numFmtId="0" fontId="34" fillId="0" borderId="25" xfId="0" applyFont="1" applyBorder="1" applyAlignment="1">
      <alignment vertical="center" wrapText="1"/>
    </xf>
    <xf numFmtId="3" fontId="37" fillId="6" borderId="25" xfId="0" applyNumberFormat="1" applyFont="1" applyFill="1" applyBorder="1" applyAlignment="1">
      <alignment vertical="center" wrapText="1"/>
    </xf>
    <xf numFmtId="3" fontId="37" fillId="6" borderId="37" xfId="0" applyNumberFormat="1" applyFont="1" applyFill="1" applyBorder="1" applyAlignment="1">
      <alignment vertical="center" wrapText="1"/>
    </xf>
    <xf numFmtId="3" fontId="37" fillId="6" borderId="26" xfId="0" applyNumberFormat="1" applyFont="1" applyFill="1" applyBorder="1" applyAlignment="1">
      <alignment vertical="center" wrapText="1"/>
    </xf>
    <xf numFmtId="3" fontId="37" fillId="6" borderId="38" xfId="0" applyNumberFormat="1" applyFont="1" applyFill="1" applyBorder="1" applyAlignment="1">
      <alignment vertical="center" wrapText="1"/>
    </xf>
    <xf numFmtId="0" fontId="9" fillId="0" borderId="0" xfId="0" applyFont="1" applyAlignment="1">
      <alignment horizontal="left" wrapText="1"/>
    </xf>
    <xf numFmtId="0" fontId="14" fillId="0" borderId="0" xfId="0" applyFont="1" applyAlignment="1">
      <alignment horizontal="center" wrapText="1"/>
    </xf>
    <xf numFmtId="0" fontId="9" fillId="0" borderId="0" xfId="0" applyFont="1" applyAlignment="1">
      <alignment horizontal="right" wrapText="1"/>
    </xf>
    <xf numFmtId="0" fontId="9" fillId="0" borderId="9" xfId="0" applyFont="1" applyBorder="1"/>
    <xf numFmtId="0" fontId="14" fillId="0" borderId="39" xfId="0" applyFont="1" applyBorder="1" applyAlignment="1">
      <alignment horizontal="center" wrapText="1"/>
    </xf>
    <xf numFmtId="0" fontId="9" fillId="0" borderId="12" xfId="0" applyFont="1" applyBorder="1" applyAlignment="1">
      <alignment vertical="center"/>
    </xf>
    <xf numFmtId="0" fontId="39" fillId="0" borderId="15" xfId="0" applyFont="1" applyBorder="1" applyAlignment="1">
      <alignment wrapText="1"/>
    </xf>
    <xf numFmtId="0" fontId="4" fillId="0" borderId="14" xfId="0" applyFont="1" applyBorder="1"/>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9" fillId="0" borderId="15" xfId="0" applyFont="1" applyBorder="1" applyAlignment="1">
      <alignment wrapText="1"/>
    </xf>
    <xf numFmtId="0" fontId="9" fillId="0" borderId="14" xfId="0" applyFont="1" applyBorder="1"/>
    <xf numFmtId="0" fontId="9" fillId="0" borderId="17" xfId="0" applyFont="1" applyBorder="1" applyAlignment="1">
      <alignment wrapText="1"/>
    </xf>
    <xf numFmtId="0" fontId="4" fillId="0" borderId="17" xfId="0" applyFont="1" applyBorder="1"/>
    <xf numFmtId="0" fontId="9" fillId="0" borderId="22" xfId="0" applyFont="1" applyBorder="1" applyAlignment="1">
      <alignment vertical="center"/>
    </xf>
    <xf numFmtId="0" fontId="39" fillId="0" borderId="3" xfId="0" applyFont="1" applyBorder="1" applyAlignment="1">
      <alignment wrapText="1"/>
    </xf>
    <xf numFmtId="0" fontId="9" fillId="0" borderId="22" xfId="0" applyFont="1" applyBorder="1" applyAlignment="1">
      <alignment horizontal="right" vertical="center"/>
    </xf>
    <xf numFmtId="0" fontId="9" fillId="0" borderId="24" xfId="0" applyFont="1" applyBorder="1"/>
    <xf numFmtId="0" fontId="39" fillId="0" borderId="37" xfId="0" applyFont="1" applyBorder="1" applyAlignment="1">
      <alignment wrapText="1"/>
    </xf>
    <xf numFmtId="0" fontId="4" fillId="0" borderId="26" xfId="0" applyFont="1" applyBorder="1"/>
    <xf numFmtId="0" fontId="2" fillId="0" borderId="0" xfId="0" applyFont="1"/>
    <xf numFmtId="0" fontId="40" fillId="0" borderId="0" xfId="5" applyFont="1"/>
    <xf numFmtId="0" fontId="9" fillId="0" borderId="5" xfId="5" applyFont="1" applyBorder="1"/>
    <xf numFmtId="0" fontId="15" fillId="0" borderId="5" xfId="5" applyFont="1" applyBorder="1" applyAlignment="1">
      <alignment horizontal="left" vertical="center"/>
    </xf>
    <xf numFmtId="0" fontId="9" fillId="0" borderId="0" xfId="5" applyFont="1" applyAlignment="1">
      <alignment horizontal="left"/>
    </xf>
    <xf numFmtId="0" fontId="35" fillId="0" borderId="0" xfId="5" applyFont="1" applyAlignment="1">
      <alignment horizontal="right"/>
    </xf>
    <xf numFmtId="0" fontId="8" fillId="0" borderId="9" xfId="5" applyFont="1" applyBorder="1" applyAlignment="1">
      <alignment vertical="center"/>
    </xf>
    <xf numFmtId="0" fontId="8" fillId="0" borderId="10" xfId="5" applyFont="1" applyBorder="1" applyAlignment="1">
      <alignment vertical="center"/>
    </xf>
    <xf numFmtId="0" fontId="15" fillId="0" borderId="10" xfId="5" applyFont="1" applyBorder="1" applyAlignment="1">
      <alignment horizontal="center" vertical="center"/>
    </xf>
    <xf numFmtId="0" fontId="15" fillId="0" borderId="11" xfId="5" applyFont="1" applyBorder="1" applyAlignment="1">
      <alignment horizontal="center" vertical="center"/>
    </xf>
    <xf numFmtId="0" fontId="20" fillId="0" borderId="0" xfId="5" applyFont="1" applyAlignment="1">
      <alignment vertical="center"/>
    </xf>
    <xf numFmtId="0" fontId="8" fillId="0" borderId="0" xfId="5" applyFont="1" applyAlignment="1">
      <alignment vertical="center"/>
    </xf>
    <xf numFmtId="0" fontId="0" fillId="0" borderId="12" xfId="0" applyBorder="1"/>
    <xf numFmtId="0" fontId="4" fillId="0" borderId="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0" xfId="0" applyFont="1" applyBorder="1" applyAlignment="1">
      <alignment horizontal="center" vertical="center" wrapText="1"/>
    </xf>
    <xf numFmtId="43" fontId="4" fillId="0" borderId="1" xfId="1" applyFont="1" applyFill="1" applyBorder="1" applyAlignment="1">
      <alignment vertical="center" wrapText="1"/>
    </xf>
    <xf numFmtId="43" fontId="2" fillId="0" borderId="0" xfId="0" applyNumberFormat="1" applyFont="1"/>
    <xf numFmtId="43" fontId="4" fillId="0" borderId="1" xfId="1" applyFont="1" applyBorder="1" applyAlignment="1">
      <alignment vertical="center"/>
    </xf>
    <xf numFmtId="0" fontId="0" fillId="0" borderId="24" xfId="0" applyBorder="1"/>
    <xf numFmtId="0" fontId="34" fillId="6" borderId="41" xfId="0" applyFont="1" applyFill="1" applyBorder="1" applyAlignment="1">
      <alignment vertical="center" wrapText="1"/>
    </xf>
    <xf numFmtId="168" fontId="34" fillId="6" borderId="25" xfId="0" applyNumberFormat="1" applyFont="1" applyFill="1" applyBorder="1" applyAlignment="1">
      <alignment horizontal="center" vertical="center"/>
    </xf>
    <xf numFmtId="0" fontId="7" fillId="0" borderId="0" xfId="0" applyFont="1" applyAlignment="1">
      <alignment vertical="center"/>
    </xf>
    <xf numFmtId="0" fontId="4" fillId="0" borderId="0" xfId="0" applyFont="1" applyAlignment="1">
      <alignment vertical="center"/>
    </xf>
    <xf numFmtId="14" fontId="4" fillId="0" borderId="0" xfId="0" applyNumberFormat="1" applyFont="1"/>
    <xf numFmtId="0" fontId="15" fillId="0" borderId="0" xfId="5" applyFont="1" applyAlignment="1">
      <alignment horizontal="center" vertical="center" wrapText="1"/>
    </xf>
    <xf numFmtId="0" fontId="0" fillId="0" borderId="9" xfId="0" applyBorder="1" applyAlignment="1">
      <alignment horizontal="center" vertical="center"/>
    </xf>
    <xf numFmtId="0" fontId="34" fillId="6" borderId="42" xfId="0" applyFont="1" applyFill="1" applyBorder="1" applyAlignment="1">
      <alignment wrapText="1"/>
    </xf>
    <xf numFmtId="165" fontId="0" fillId="6" borderId="11" xfId="0" applyNumberFormat="1" applyFill="1" applyBorder="1" applyAlignment="1">
      <alignment horizontal="center" vertical="center"/>
    </xf>
    <xf numFmtId="0" fontId="4" fillId="0" borderId="12" xfId="0" applyFont="1" applyBorder="1" applyAlignment="1">
      <alignment horizontal="center" vertical="center"/>
    </xf>
    <xf numFmtId="0" fontId="4" fillId="0" borderId="16" xfId="0" applyFont="1" applyBorder="1"/>
    <xf numFmtId="165" fontId="0" fillId="0" borderId="14" xfId="0" quotePrefix="1" applyNumberFormat="1" applyBorder="1"/>
    <xf numFmtId="0" fontId="4" fillId="0" borderId="12" xfId="0" applyFont="1" applyBorder="1" applyAlignment="1">
      <alignment horizontal="center" vertical="center" wrapText="1"/>
    </xf>
    <xf numFmtId="0" fontId="4" fillId="0" borderId="16" xfId="0" applyFont="1" applyBorder="1" applyAlignment="1">
      <alignment vertical="center" wrapText="1"/>
    </xf>
    <xf numFmtId="165" fontId="0" fillId="0" borderId="14" xfId="0" applyNumberFormat="1" applyBorder="1" applyAlignment="1">
      <alignment wrapText="1"/>
    </xf>
    <xf numFmtId="0" fontId="0" fillId="0" borderId="0" xfId="0" applyAlignment="1">
      <alignment wrapText="1"/>
    </xf>
    <xf numFmtId="0" fontId="34" fillId="6" borderId="16" xfId="0" applyFont="1" applyFill="1" applyBorder="1" applyAlignment="1">
      <alignment wrapText="1"/>
    </xf>
    <xf numFmtId="165" fontId="0" fillId="6" borderId="14" xfId="0" applyNumberFormat="1" applyFill="1" applyBorder="1" applyAlignment="1">
      <alignment horizontal="center" vertical="center" wrapText="1"/>
    </xf>
    <xf numFmtId="0" fontId="4" fillId="0" borderId="16" xfId="0" applyFont="1" applyBorder="1" applyAlignment="1">
      <alignment vertical="center"/>
    </xf>
    <xf numFmtId="165" fontId="0" fillId="0" borderId="14" xfId="0" applyNumberFormat="1" applyBorder="1"/>
    <xf numFmtId="167" fontId="2" fillId="0" borderId="0" xfId="1" applyNumberFormat="1" applyFont="1"/>
    <xf numFmtId="0" fontId="4" fillId="0" borderId="16" xfId="0" applyFont="1" applyBorder="1" applyAlignment="1">
      <alignment wrapText="1"/>
    </xf>
    <xf numFmtId="0" fontId="4" fillId="0" borderId="24" xfId="0" applyFont="1" applyBorder="1" applyAlignment="1">
      <alignment horizontal="center" vertical="center" wrapText="1"/>
    </xf>
    <xf numFmtId="0" fontId="34" fillId="6" borderId="43" xfId="0" applyFont="1" applyFill="1" applyBorder="1" applyAlignment="1">
      <alignment wrapText="1"/>
    </xf>
    <xf numFmtId="165" fontId="0" fillId="6" borderId="26" xfId="0" applyNumberFormat="1" applyFill="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20" fillId="0" borderId="0" xfId="0" applyFont="1"/>
    <xf numFmtId="0" fontId="34" fillId="0" borderId="0" xfId="0" applyFont="1" applyAlignment="1">
      <alignment horizontal="center"/>
    </xf>
    <xf numFmtId="0" fontId="8" fillId="0" borderId="9" xfId="9" applyFont="1" applyBorder="1" applyAlignment="1" applyProtection="1">
      <alignment horizontal="center" vertical="center"/>
      <protection locked="0"/>
    </xf>
    <xf numFmtId="0" fontId="15" fillId="2" borderId="44" xfId="9" applyFont="1" applyFill="1" applyBorder="1" applyAlignment="1" applyProtection="1">
      <alignment horizontal="center" vertical="center" wrapText="1"/>
      <protection locked="0"/>
    </xf>
    <xf numFmtId="167" fontId="8" fillId="2" borderId="11" xfId="10" applyNumberFormat="1" applyFont="1" applyFill="1" applyBorder="1" applyAlignment="1" applyProtection="1">
      <alignment horizontal="center" vertical="center"/>
      <protection locked="0"/>
    </xf>
    <xf numFmtId="0" fontId="8" fillId="0" borderId="12" xfId="9" applyFont="1" applyBorder="1" applyAlignment="1" applyProtection="1">
      <alignment horizontal="center" vertical="center"/>
      <protection locked="0"/>
    </xf>
    <xf numFmtId="0" fontId="34" fillId="6" borderId="1" xfId="0" applyFont="1" applyFill="1" applyBorder="1" applyAlignment="1">
      <alignment horizontal="left" vertical="top" wrapText="1"/>
    </xf>
    <xf numFmtId="165" fontId="8" fillId="6" borderId="14" xfId="10" applyNumberFormat="1" applyFont="1" applyFill="1" applyBorder="1" applyAlignment="1" applyProtection="1">
      <alignment vertical="top"/>
    </xf>
    <xf numFmtId="0" fontId="8" fillId="2" borderId="27" xfId="11" applyFont="1" applyFill="1" applyBorder="1" applyAlignment="1" applyProtection="1">
      <alignment vertical="center" wrapText="1"/>
      <protection locked="0"/>
    </xf>
    <xf numFmtId="165" fontId="8" fillId="2" borderId="14" xfId="10" applyNumberFormat="1" applyFont="1" applyFill="1" applyBorder="1" applyAlignment="1" applyProtection="1">
      <alignment vertical="top"/>
      <protection locked="0"/>
    </xf>
    <xf numFmtId="0" fontId="8" fillId="2" borderId="1" xfId="11" applyFont="1" applyFill="1" applyBorder="1" applyAlignment="1" applyProtection="1">
      <alignment vertical="center" wrapText="1"/>
      <protection locked="0"/>
    </xf>
    <xf numFmtId="0" fontId="8" fillId="2" borderId="2" xfId="11" applyFont="1" applyFill="1" applyBorder="1" applyAlignment="1" applyProtection="1">
      <alignment vertical="center" wrapText="1"/>
      <protection locked="0"/>
    </xf>
    <xf numFmtId="165" fontId="8" fillId="6" borderId="14" xfId="10" applyNumberFormat="1" applyFont="1" applyFill="1" applyBorder="1" applyAlignment="1" applyProtection="1">
      <alignment vertical="top" wrapText="1"/>
    </xf>
    <xf numFmtId="0" fontId="8" fillId="2" borderId="27" xfId="11" applyFont="1" applyFill="1" applyBorder="1" applyAlignment="1" applyProtection="1">
      <alignment horizontal="left" vertical="center" wrapText="1"/>
      <protection locked="0"/>
    </xf>
    <xf numFmtId="165" fontId="8" fillId="2" borderId="14" xfId="10" applyNumberFormat="1" applyFont="1" applyFill="1" applyBorder="1" applyAlignment="1" applyProtection="1">
      <alignment vertical="top" wrapText="1"/>
      <protection locked="0"/>
    </xf>
    <xf numFmtId="0" fontId="8" fillId="2" borderId="1" xfId="11" applyFont="1" applyFill="1" applyBorder="1" applyAlignment="1" applyProtection="1">
      <alignment horizontal="left" vertical="center" wrapText="1"/>
      <protection locked="0"/>
    </xf>
    <xf numFmtId="0" fontId="8" fillId="2" borderId="1" xfId="9" applyFont="1" applyFill="1" applyBorder="1" applyAlignment="1" applyProtection="1">
      <alignment horizontal="left" vertical="center" wrapText="1"/>
      <protection locked="0"/>
    </xf>
    <xf numFmtId="0" fontId="8" fillId="0" borderId="1" xfId="11" applyFont="1" applyBorder="1" applyAlignment="1" applyProtection="1">
      <alignment horizontal="left" vertical="center" wrapText="1"/>
      <protection locked="0"/>
    </xf>
    <xf numFmtId="0" fontId="8" fillId="0" borderId="0" xfId="11" applyFont="1" applyAlignment="1" applyProtection="1">
      <alignment wrapText="1"/>
      <protection locked="0"/>
    </xf>
    <xf numFmtId="0" fontId="8" fillId="0" borderId="1" xfId="11" applyFont="1" applyBorder="1" applyAlignment="1" applyProtection="1">
      <alignment wrapText="1"/>
      <protection locked="0"/>
    </xf>
    <xf numFmtId="1" fontId="15" fillId="6" borderId="1" xfId="10" applyNumberFormat="1" applyFont="1" applyFill="1" applyBorder="1" applyAlignment="1" applyProtection="1">
      <alignment horizontal="left" vertical="top" wrapText="1"/>
    </xf>
    <xf numFmtId="0" fontId="8" fillId="0" borderId="12" xfId="9" applyFont="1" applyBorder="1" applyAlignment="1" applyProtection="1">
      <alignment horizontal="center" vertical="center" wrapText="1"/>
      <protection locked="0"/>
    </xf>
    <xf numFmtId="0" fontId="15" fillId="2" borderId="1" xfId="11" applyFont="1" applyFill="1" applyBorder="1" applyAlignment="1" applyProtection="1">
      <alignment vertical="center" wrapText="1"/>
      <protection locked="0"/>
    </xf>
    <xf numFmtId="165" fontId="8" fillId="6" borderId="14" xfId="10" applyNumberFormat="1" applyFont="1" applyFill="1" applyBorder="1" applyAlignment="1" applyProtection="1">
      <alignment vertical="top" wrapText="1"/>
      <protection locked="0"/>
    </xf>
    <xf numFmtId="0" fontId="8" fillId="2" borderId="1" xfId="11" applyFont="1" applyFill="1" applyBorder="1" applyAlignment="1" applyProtection="1">
      <alignment horizontal="left" vertical="center" wrapText="1" indent="3"/>
      <protection locked="0"/>
    </xf>
    <xf numFmtId="0" fontId="15" fillId="6" borderId="1" xfId="11" applyFont="1" applyFill="1" applyBorder="1" applyAlignment="1" applyProtection="1">
      <alignment vertical="center" wrapText="1"/>
      <protection locked="0"/>
    </xf>
    <xf numFmtId="165" fontId="0" fillId="0" borderId="0" xfId="0" applyNumberFormat="1" applyAlignment="1">
      <alignment wrapText="1"/>
    </xf>
    <xf numFmtId="0" fontId="8" fillId="0" borderId="1" xfId="11" applyFont="1" applyBorder="1" applyAlignment="1" applyProtection="1">
      <alignment vertical="center" wrapText="1"/>
      <protection locked="0"/>
    </xf>
    <xf numFmtId="0" fontId="15" fillId="6" borderId="25" xfId="11" applyFont="1" applyFill="1" applyBorder="1" applyAlignment="1" applyProtection="1">
      <alignment vertical="center" wrapText="1"/>
      <protection locked="0"/>
    </xf>
    <xf numFmtId="165" fontId="8" fillId="6" borderId="26" xfId="10" applyNumberFormat="1" applyFont="1" applyFill="1" applyBorder="1" applyAlignment="1" applyProtection="1">
      <alignment vertical="top" wrapText="1"/>
    </xf>
    <xf numFmtId="165" fontId="20" fillId="0" borderId="0" xfId="0" applyNumberFormat="1" applyFont="1"/>
    <xf numFmtId="165" fontId="2" fillId="0" borderId="0" xfId="0" applyNumberFormat="1" applyFont="1"/>
    <xf numFmtId="0" fontId="34" fillId="0" borderId="0" xfId="12" applyFont="1" applyAlignment="1" applyProtection="1">
      <alignment horizontal="left" vertical="center"/>
      <protection locked="0"/>
    </xf>
    <xf numFmtId="0" fontId="34" fillId="6" borderId="10" xfId="0" applyFont="1" applyFill="1" applyBorder="1" applyAlignment="1">
      <alignment horizontal="center" vertical="center" wrapText="1"/>
    </xf>
    <xf numFmtId="0" fontId="34" fillId="6" borderId="11" xfId="0" applyFont="1" applyFill="1" applyBorder="1" applyAlignment="1">
      <alignment horizontal="center" vertical="center" wrapText="1"/>
    </xf>
    <xf numFmtId="0" fontId="34" fillId="6" borderId="12" xfId="0" applyFont="1" applyFill="1" applyBorder="1" applyAlignment="1">
      <alignment horizontal="left" vertical="center" wrapText="1"/>
    </xf>
    <xf numFmtId="0" fontId="34" fillId="6" borderId="1" xfId="0" applyFont="1" applyFill="1" applyBorder="1" applyAlignment="1">
      <alignment horizontal="left" vertical="center" wrapText="1"/>
    </xf>
    <xf numFmtId="0" fontId="34" fillId="6" borderId="14" xfId="0" applyFont="1" applyFill="1" applyBorder="1" applyAlignment="1">
      <alignment horizontal="left" vertical="center" wrapText="1"/>
    </xf>
    <xf numFmtId="0" fontId="4" fillId="0" borderId="0" xfId="0" applyFont="1" applyAlignment="1">
      <alignment horizontal="left" vertical="center"/>
    </xf>
    <xf numFmtId="0" fontId="4" fillId="0" borderId="12" xfId="0" applyFont="1" applyBorder="1" applyAlignment="1">
      <alignment horizontal="right" vertical="center" wrapText="1"/>
    </xf>
    <xf numFmtId="0" fontId="4" fillId="0" borderId="1" xfId="0" applyFont="1" applyBorder="1" applyAlignment="1">
      <alignment horizontal="left" vertical="center" wrapText="1"/>
    </xf>
    <xf numFmtId="10" fontId="8" fillId="0" borderId="1" xfId="2" applyNumberFormat="1" applyFont="1" applyFill="1" applyBorder="1" applyAlignment="1">
      <alignment horizontal="left" vertical="center" wrapText="1"/>
    </xf>
    <xf numFmtId="1" fontId="4" fillId="0" borderId="14" xfId="0" applyNumberFormat="1" applyFont="1" applyBorder="1" applyAlignment="1">
      <alignment horizontal="right" vertical="center" wrapText="1"/>
    </xf>
    <xf numFmtId="10" fontId="4" fillId="0" borderId="1" xfId="2" applyNumberFormat="1" applyFont="1" applyFill="1" applyBorder="1" applyAlignment="1">
      <alignment horizontal="left" vertical="center" wrapText="1"/>
    </xf>
    <xf numFmtId="10" fontId="34" fillId="6" borderId="1" xfId="0" applyNumberFormat="1" applyFont="1" applyFill="1" applyBorder="1" applyAlignment="1">
      <alignment horizontal="left" vertical="center" wrapText="1"/>
    </xf>
    <xf numFmtId="1" fontId="34" fillId="6" borderId="14" xfId="0" applyNumberFormat="1" applyFont="1" applyFill="1" applyBorder="1" applyAlignment="1">
      <alignment horizontal="right" vertical="center" wrapText="1"/>
    </xf>
    <xf numFmtId="0" fontId="13" fillId="0" borderId="12" xfId="0" applyFont="1" applyBorder="1" applyAlignment="1">
      <alignment horizontal="right" vertical="center" wrapText="1"/>
    </xf>
    <xf numFmtId="0" fontId="13" fillId="0" borderId="1" xfId="0" applyFont="1" applyBorder="1" applyAlignment="1">
      <alignment horizontal="left" vertical="center" wrapText="1"/>
    </xf>
    <xf numFmtId="10" fontId="13" fillId="0" borderId="1" xfId="2" applyNumberFormat="1" applyFont="1" applyFill="1" applyBorder="1" applyAlignment="1">
      <alignment horizontal="left" vertical="center" wrapText="1"/>
    </xf>
    <xf numFmtId="1" fontId="13" fillId="0" borderId="14" xfId="0" applyNumberFormat="1" applyFont="1" applyBorder="1" applyAlignment="1">
      <alignment horizontal="right" vertical="center" wrapText="1"/>
    </xf>
    <xf numFmtId="0" fontId="13" fillId="0" borderId="0" xfId="0" applyFont="1" applyAlignment="1">
      <alignment horizontal="left" vertical="center"/>
    </xf>
    <xf numFmtId="10" fontId="34" fillId="6" borderId="1" xfId="2" applyNumberFormat="1" applyFont="1" applyFill="1" applyBorder="1" applyAlignment="1">
      <alignment horizontal="left" vertical="center" wrapText="1"/>
    </xf>
    <xf numFmtId="49" fontId="13" fillId="0" borderId="12" xfId="0" applyNumberFormat="1" applyFont="1" applyBorder="1" applyAlignment="1">
      <alignment horizontal="right" vertical="center" wrapText="1"/>
    </xf>
    <xf numFmtId="167" fontId="13" fillId="0" borderId="14" xfId="1" applyNumberFormat="1" applyFont="1" applyBorder="1" applyAlignment="1">
      <alignment horizontal="right" vertical="center" wrapText="1"/>
    </xf>
    <xf numFmtId="10" fontId="34" fillId="6" borderId="1" xfId="0" applyNumberFormat="1" applyFont="1" applyFill="1" applyBorder="1" applyAlignment="1">
      <alignment horizontal="center" vertical="center" wrapText="1"/>
    </xf>
    <xf numFmtId="1" fontId="34" fillId="6" borderId="14" xfId="0" applyNumberFormat="1" applyFont="1" applyFill="1" applyBorder="1" applyAlignment="1">
      <alignment horizontal="center" vertical="center" wrapText="1"/>
    </xf>
    <xf numFmtId="0" fontId="34" fillId="0" borderId="12" xfId="0" applyFont="1" applyBorder="1" applyAlignment="1">
      <alignment horizontal="left" vertical="center" wrapText="1"/>
    </xf>
    <xf numFmtId="167" fontId="4" fillId="0" borderId="14" xfId="1" applyNumberFormat="1" applyFont="1" applyBorder="1" applyAlignment="1">
      <alignment horizontal="right" vertical="center" wrapText="1"/>
    </xf>
    <xf numFmtId="49" fontId="42" fillId="0" borderId="24" xfId="13" applyNumberFormat="1" applyFont="1" applyBorder="1" applyAlignment="1" applyProtection="1">
      <alignment horizontal="left" vertical="center"/>
      <protection locked="0"/>
    </xf>
    <xf numFmtId="0" fontId="43" fillId="0" borderId="25" xfId="9" applyFont="1" applyBorder="1" applyAlignment="1" applyProtection="1">
      <alignment horizontal="left" vertical="center" wrapText="1"/>
      <protection locked="0"/>
    </xf>
    <xf numFmtId="10" fontId="43" fillId="0" borderId="25" xfId="2" applyNumberFormat="1" applyFont="1" applyFill="1" applyBorder="1" applyAlignment="1" applyProtection="1">
      <alignment horizontal="left" vertical="center"/>
    </xf>
    <xf numFmtId="167" fontId="8" fillId="0" borderId="26" xfId="1" applyNumberFormat="1" applyFont="1" applyFill="1" applyBorder="1" applyAlignment="1" applyProtection="1">
      <alignment horizontal="right" vertical="center"/>
    </xf>
    <xf numFmtId="0" fontId="8" fillId="0" borderId="0" xfId="5" applyFont="1"/>
    <xf numFmtId="0" fontId="44" fillId="0" borderId="0" xfId="5" applyFont="1"/>
    <xf numFmtId="0" fontId="45" fillId="0" borderId="0" xfId="0" applyFont="1"/>
    <xf numFmtId="0" fontId="46" fillId="8" borderId="10" xfId="0" applyFont="1" applyFill="1" applyBorder="1" applyAlignment="1">
      <alignment horizontal="center" vertical="center"/>
    </xf>
    <xf numFmtId="0" fontId="46" fillId="8" borderId="11" xfId="0" applyFont="1" applyFill="1" applyBorder="1" applyAlignment="1">
      <alignment horizontal="center" vertical="center"/>
    </xf>
    <xf numFmtId="0" fontId="46" fillId="9" borderId="1" xfId="0" applyFont="1" applyFill="1" applyBorder="1" applyAlignment="1">
      <alignment horizontal="left" vertical="center"/>
    </xf>
    <xf numFmtId="169" fontId="46" fillId="9" borderId="14" xfId="1" applyNumberFormat="1" applyFont="1" applyFill="1" applyBorder="1" applyAlignment="1">
      <alignment horizontal="left" vertical="center"/>
    </xf>
    <xf numFmtId="49" fontId="48" fillId="0" borderId="1" xfId="0" applyNumberFormat="1" applyFont="1" applyBorder="1" applyAlignment="1">
      <alignment horizontal="left" vertical="center"/>
    </xf>
    <xf numFmtId="169" fontId="48" fillId="0" borderId="14" xfId="1" applyNumberFormat="1" applyFont="1" applyFill="1" applyBorder="1" applyAlignment="1">
      <alignment horizontal="left" vertical="center"/>
    </xf>
    <xf numFmtId="0" fontId="48" fillId="0" borderId="1" xfId="0" applyFont="1" applyBorder="1" applyAlignment="1">
      <alignment horizontal="left" vertical="center"/>
    </xf>
    <xf numFmtId="0" fontId="46" fillId="0" borderId="1" xfId="0" applyFont="1" applyBorder="1" applyAlignment="1">
      <alignment horizontal="left" vertical="center"/>
    </xf>
    <xf numFmtId="10" fontId="8" fillId="0" borderId="14" xfId="0" applyNumberFormat="1" applyFont="1" applyBorder="1" applyAlignment="1">
      <alignment horizontal="right" vertical="center" wrapText="1"/>
    </xf>
    <xf numFmtId="0" fontId="50" fillId="10" borderId="25" xfId="0" applyFont="1" applyFill="1" applyBorder="1" applyAlignment="1">
      <alignment horizontal="left" vertical="center"/>
    </xf>
    <xf numFmtId="10" fontId="44" fillId="11" borderId="26" xfId="0" applyNumberFormat="1" applyFont="1" applyFill="1" applyBorder="1" applyAlignment="1">
      <alignment horizontal="right" vertical="center" wrapText="1"/>
    </xf>
    <xf numFmtId="0" fontId="51" fillId="0" borderId="0" xfId="0" applyFont="1" applyAlignment="1">
      <alignment vertical="top" wrapText="1"/>
    </xf>
    <xf numFmtId="0" fontId="53" fillId="0" borderId="0" xfId="0" applyFont="1" applyAlignment="1">
      <alignment vertical="top"/>
    </xf>
    <xf numFmtId="0" fontId="53" fillId="0" borderId="0" xfId="0" applyFont="1" applyAlignment="1">
      <alignment vertical="top" wrapText="1"/>
    </xf>
    <xf numFmtId="0" fontId="0" fillId="0" borderId="5" xfId="0" applyBorder="1"/>
    <xf numFmtId="0" fontId="4" fillId="12" borderId="1" xfId="0" applyFont="1" applyFill="1" applyBorder="1" applyAlignment="1">
      <alignment horizontal="center" vertical="center" wrapText="1"/>
    </xf>
    <xf numFmtId="0" fontId="34" fillId="11" borderId="1" xfId="0" applyFont="1" applyFill="1" applyBorder="1" applyAlignment="1">
      <alignment vertical="center" wrapText="1"/>
    </xf>
    <xf numFmtId="169" fontId="34" fillId="11" borderId="1" xfId="1" applyNumberFormat="1" applyFont="1" applyFill="1" applyBorder="1" applyAlignment="1">
      <alignment vertical="center"/>
    </xf>
    <xf numFmtId="169" fontId="34" fillId="11" borderId="14" xfId="1" applyNumberFormat="1" applyFont="1" applyFill="1" applyBorder="1" applyAlignment="1">
      <alignment vertical="center"/>
    </xf>
    <xf numFmtId="0" fontId="48" fillId="9" borderId="1" xfId="0" applyFont="1" applyFill="1" applyBorder="1" applyAlignment="1">
      <alignment horizontal="left" vertical="center" wrapText="1" indent="3"/>
    </xf>
    <xf numFmtId="169" fontId="34" fillId="6" borderId="1" xfId="1" applyNumberFormat="1" applyFont="1" applyFill="1" applyBorder="1" applyAlignment="1">
      <alignment vertical="center"/>
    </xf>
    <xf numFmtId="0" fontId="54" fillId="9" borderId="1" xfId="0" applyFont="1" applyFill="1" applyBorder="1" applyAlignment="1">
      <alignment horizontal="left" vertical="center" wrapText="1" indent="5"/>
    </xf>
    <xf numFmtId="0" fontId="55" fillId="8" borderId="1" xfId="0" applyFont="1" applyFill="1" applyBorder="1" applyAlignment="1">
      <alignment horizontal="left" vertical="center" wrapText="1" indent="1"/>
    </xf>
    <xf numFmtId="169" fontId="55" fillId="8" borderId="1" xfId="1" applyNumberFormat="1" applyFont="1" applyFill="1" applyBorder="1" applyAlignment="1">
      <alignment vertical="center"/>
    </xf>
    <xf numFmtId="169" fontId="55" fillId="10" borderId="14" xfId="1" applyNumberFormat="1" applyFont="1" applyFill="1" applyBorder="1" applyAlignment="1">
      <alignment vertical="center"/>
    </xf>
    <xf numFmtId="169" fontId="56" fillId="9" borderId="1" xfId="1" applyNumberFormat="1" applyFont="1" applyFill="1" applyBorder="1" applyAlignment="1">
      <alignment vertical="center"/>
    </xf>
    <xf numFmtId="169" fontId="56" fillId="10" borderId="14" xfId="1" applyNumberFormat="1" applyFont="1" applyFill="1" applyBorder="1" applyAlignment="1">
      <alignment vertical="center"/>
    </xf>
    <xf numFmtId="0" fontId="54" fillId="9" borderId="25" xfId="0" applyFont="1" applyFill="1" applyBorder="1" applyAlignment="1">
      <alignment horizontal="left" vertical="center" wrapText="1" indent="5"/>
    </xf>
    <xf numFmtId="169" fontId="56" fillId="9" borderId="25" xfId="1" applyNumberFormat="1" applyFont="1" applyFill="1" applyBorder="1" applyAlignment="1">
      <alignment vertical="center"/>
    </xf>
    <xf numFmtId="169" fontId="56" fillId="10" borderId="26" xfId="1" applyNumberFormat="1" applyFont="1" applyFill="1" applyBorder="1" applyAlignment="1">
      <alignment vertical="center"/>
    </xf>
    <xf numFmtId="0" fontId="7" fillId="0" borderId="0" xfId="0" applyFont="1"/>
    <xf numFmtId="0" fontId="14" fillId="0" borderId="0" xfId="5" applyFont="1"/>
    <xf numFmtId="0" fontId="14" fillId="0" borderId="0" xfId="5" applyFont="1" applyAlignment="1">
      <alignment horizontal="center"/>
    </xf>
    <xf numFmtId="0" fontId="35" fillId="0" borderId="0" xfId="0" applyFont="1" applyAlignment="1" applyProtection="1">
      <alignment horizontal="right"/>
      <protection locked="0"/>
    </xf>
    <xf numFmtId="0" fontId="4" fillId="0" borderId="4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43" fontId="57" fillId="0" borderId="51" xfId="1" applyFont="1" applyBorder="1" applyAlignment="1">
      <alignment horizontal="center" vertical="center"/>
    </xf>
    <xf numFmtId="168" fontId="7" fillId="0" borderId="52" xfId="0" applyNumberFormat="1" applyFont="1" applyBorder="1" applyAlignment="1">
      <alignment horizontal="center"/>
    </xf>
    <xf numFmtId="168" fontId="0" fillId="0" borderId="0" xfId="0" applyNumberFormat="1" applyAlignment="1">
      <alignment horizontal="center"/>
    </xf>
    <xf numFmtId="43" fontId="7" fillId="0" borderId="53" xfId="1" applyFont="1" applyBorder="1" applyAlignment="1">
      <alignment horizontal="center" vertical="center"/>
    </xf>
    <xf numFmtId="168" fontId="7" fillId="0" borderId="54" xfId="0" applyNumberFormat="1" applyFont="1" applyBorder="1" applyAlignment="1">
      <alignment horizontal="center"/>
    </xf>
    <xf numFmtId="168" fontId="58" fillId="0" borderId="54" xfId="0" applyNumberFormat="1" applyFont="1" applyBorder="1" applyAlignment="1">
      <alignment horizontal="center"/>
    </xf>
    <xf numFmtId="168" fontId="59" fillId="0" borderId="0" xfId="0" applyNumberFormat="1" applyFont="1" applyAlignment="1">
      <alignment horizontal="center"/>
    </xf>
    <xf numFmtId="43" fontId="11" fillId="0" borderId="53" xfId="1" applyFont="1" applyBorder="1" applyAlignment="1">
      <alignment horizontal="center" vertical="center"/>
    </xf>
    <xf numFmtId="43" fontId="57" fillId="0" borderId="53" xfId="1" applyFont="1" applyBorder="1" applyAlignment="1">
      <alignment horizontal="center" vertical="center"/>
    </xf>
    <xf numFmtId="43" fontId="58" fillId="0" borderId="53" xfId="1" applyFont="1" applyBorder="1" applyAlignment="1">
      <alignment horizontal="center" vertical="center"/>
    </xf>
    <xf numFmtId="168" fontId="35" fillId="0" borderId="54" xfId="0" applyNumberFormat="1" applyFont="1" applyBorder="1" applyAlignment="1">
      <alignment horizontal="center"/>
    </xf>
    <xf numFmtId="43" fontId="7" fillId="0" borderId="55" xfId="1" applyFont="1" applyBorder="1" applyAlignment="1">
      <alignment horizontal="center" vertical="center"/>
    </xf>
    <xf numFmtId="168" fontId="7" fillId="0" borderId="56" xfId="0" applyNumberFormat="1" applyFont="1" applyBorder="1" applyAlignment="1">
      <alignment horizontal="center"/>
    </xf>
    <xf numFmtId="168" fontId="57" fillId="0" borderId="57" xfId="0" applyNumberFormat="1" applyFont="1" applyBorder="1" applyAlignment="1">
      <alignment horizontal="center"/>
    </xf>
    <xf numFmtId="168" fontId="3" fillId="0" borderId="0" xfId="0" applyNumberFormat="1" applyFont="1" applyAlignment="1">
      <alignment horizontal="center"/>
    </xf>
    <xf numFmtId="43" fontId="57" fillId="0" borderId="58" xfId="1" applyFont="1" applyBorder="1" applyAlignment="1">
      <alignment horizontal="center" vertical="center"/>
    </xf>
    <xf numFmtId="168" fontId="58" fillId="13" borderId="59" xfId="0" applyNumberFormat="1" applyFont="1" applyFill="1" applyBorder="1" applyAlignment="1">
      <alignment horizontal="center"/>
    </xf>
    <xf numFmtId="43" fontId="57" fillId="0" borderId="55" xfId="1" applyFont="1" applyBorder="1" applyAlignment="1">
      <alignment horizontal="center" vertical="center"/>
    </xf>
    <xf numFmtId="43" fontId="58" fillId="0" borderId="55" xfId="1" applyFont="1" applyBorder="1" applyAlignment="1">
      <alignment horizontal="center" vertical="center"/>
    </xf>
    <xf numFmtId="168" fontId="7" fillId="0" borderId="60" xfId="0" applyNumberFormat="1" applyFont="1" applyBorder="1" applyAlignment="1">
      <alignment horizontal="center"/>
    </xf>
    <xf numFmtId="43" fontId="57" fillId="0" borderId="61" xfId="1" applyFont="1" applyBorder="1" applyAlignment="1">
      <alignment horizontal="center" vertical="center"/>
    </xf>
    <xf numFmtId="0" fontId="0" fillId="0" borderId="2" xfId="0" applyBorder="1" applyAlignment="1">
      <alignment horizontal="center"/>
    </xf>
    <xf numFmtId="0" fontId="23" fillId="0" borderId="2" xfId="7" applyFont="1" applyBorder="1" applyAlignment="1">
      <alignment horizontal="left" vertical="center" wrapText="1" indent="1"/>
    </xf>
    <xf numFmtId="0" fontId="23" fillId="2" borderId="1" xfId="0" applyFont="1" applyFill="1" applyBorder="1" applyAlignment="1">
      <alignment horizontal="left" vertical="center" wrapText="1" indent="1"/>
    </xf>
    <xf numFmtId="168" fontId="7" fillId="0" borderId="1" xfId="0" applyNumberFormat="1" applyFont="1" applyBorder="1" applyAlignment="1">
      <alignment horizontal="center"/>
    </xf>
    <xf numFmtId="43" fontId="57" fillId="0" borderId="1" xfId="1" applyFont="1" applyBorder="1" applyAlignment="1">
      <alignment horizontal="center"/>
    </xf>
    <xf numFmtId="0" fontId="23" fillId="0" borderId="1" xfId="0" applyFont="1" applyBorder="1" applyAlignment="1">
      <alignment horizontal="left" vertical="center" wrapText="1" indent="1"/>
    </xf>
    <xf numFmtId="43" fontId="7" fillId="0" borderId="1" xfId="1" applyFont="1" applyBorder="1" applyAlignment="1">
      <alignment horizontal="center"/>
    </xf>
    <xf numFmtId="43" fontId="7" fillId="0" borderId="1" xfId="1" applyFont="1" applyFill="1" applyBorder="1" applyAlignment="1">
      <alignment horizontal="center"/>
    </xf>
    <xf numFmtId="43" fontId="57" fillId="0" borderId="1" xfId="1" applyFont="1" applyBorder="1" applyAlignment="1">
      <alignment horizontal="center" vertical="center"/>
    </xf>
    <xf numFmtId="43" fontId="7" fillId="0" borderId="1" xfId="1" applyFont="1" applyBorder="1" applyAlignment="1">
      <alignment horizontal="center" vertical="center"/>
    </xf>
    <xf numFmtId="0" fontId="25" fillId="2" borderId="1" xfId="0" applyFont="1" applyFill="1" applyBorder="1" applyAlignment="1">
      <alignment horizontal="left" vertical="center" wrapText="1" indent="1"/>
    </xf>
    <xf numFmtId="0" fontId="25" fillId="0" borderId="1" xfId="0" applyFont="1" applyBorder="1" applyAlignment="1">
      <alignment horizontal="left" vertical="center" wrapText="1" indent="1"/>
    </xf>
    <xf numFmtId="167" fontId="60" fillId="0" borderId="0" xfId="1" applyNumberFormat="1" applyFont="1"/>
    <xf numFmtId="43" fontId="60" fillId="0" borderId="0" xfId="0" applyNumberFormat="1" applyFont="1"/>
    <xf numFmtId="0" fontId="34" fillId="0" borderId="0" xfId="0" applyFont="1" applyAlignment="1">
      <alignment horizontal="center" wrapText="1"/>
    </xf>
    <xf numFmtId="0" fontId="4" fillId="0" borderId="62" xfId="0" applyFont="1" applyBorder="1"/>
    <xf numFmtId="0" fontId="4" fillId="0" borderId="63" xfId="0" applyFont="1" applyBorder="1"/>
    <xf numFmtId="0" fontId="4" fillId="0" borderId="10" xfId="0" applyFont="1" applyBorder="1" applyAlignment="1">
      <alignment horizontal="center" vertical="center"/>
    </xf>
    <xf numFmtId="0" fontId="4" fillId="0" borderId="39" xfId="0" applyFont="1" applyBorder="1" applyAlignment="1">
      <alignment horizontal="center" vertical="center"/>
    </xf>
    <xf numFmtId="0" fontId="4" fillId="0" borderId="11" xfId="0" applyFont="1" applyBorder="1" applyAlignment="1">
      <alignment horizontal="center" vertical="center"/>
    </xf>
    <xf numFmtId="0" fontId="4" fillId="0" borderId="64" xfId="0" applyFont="1" applyBorder="1"/>
    <xf numFmtId="9" fontId="62" fillId="0" borderId="1" xfId="0" applyNumberFormat="1" applyFont="1" applyBorder="1" applyAlignment="1">
      <alignment horizontal="center" vertical="center"/>
    </xf>
    <xf numFmtId="0" fontId="4" fillId="0" borderId="12" xfId="0" applyFont="1" applyBorder="1" applyAlignment="1">
      <alignment vertical="center"/>
    </xf>
    <xf numFmtId="0" fontId="8" fillId="2" borderId="1" xfId="11" applyFont="1" applyFill="1" applyBorder="1" applyAlignment="1" applyProtection="1">
      <alignment horizontal="left" vertical="center"/>
      <protection locked="0"/>
    </xf>
    <xf numFmtId="165" fontId="4" fillId="0" borderId="1" xfId="0" applyNumberFormat="1" applyFont="1" applyBorder="1"/>
    <xf numFmtId="165" fontId="4" fillId="0" borderId="15" xfId="0" applyNumberFormat="1" applyFont="1" applyBorder="1"/>
    <xf numFmtId="168" fontId="4" fillId="0" borderId="14" xfId="0" applyNumberFormat="1" applyFont="1" applyBorder="1"/>
    <xf numFmtId="0" fontId="8" fillId="2" borderId="24" xfId="9" applyFont="1" applyFill="1" applyBorder="1" applyAlignment="1" applyProtection="1">
      <alignment horizontal="left" vertical="center"/>
      <protection locked="0"/>
    </xf>
    <xf numFmtId="0" fontId="15" fillId="2" borderId="25" xfId="14" applyFont="1" applyFill="1" applyBorder="1" applyProtection="1">
      <protection locked="0"/>
    </xf>
    <xf numFmtId="165" fontId="4" fillId="6" borderId="25" xfId="0" applyNumberFormat="1" applyFont="1" applyFill="1" applyBorder="1"/>
    <xf numFmtId="0" fontId="4" fillId="6" borderId="26" xfId="0" applyFont="1" applyFill="1" applyBorder="1"/>
    <xf numFmtId="165" fontId="4" fillId="0" borderId="0" xfId="0" applyNumberFormat="1" applyFont="1"/>
    <xf numFmtId="0" fontId="4" fillId="0" borderId="9" xfId="0" applyFont="1" applyBorder="1"/>
    <xf numFmtId="0" fontId="4" fillId="0" borderId="11" xfId="0" applyFont="1" applyBorder="1"/>
    <xf numFmtId="0" fontId="4" fillId="0" borderId="14" xfId="0" applyFont="1" applyBorder="1" applyAlignment="1">
      <alignment horizontal="center" vertical="center"/>
    </xf>
    <xf numFmtId="167" fontId="8" fillId="2" borderId="12" xfId="15" applyNumberFormat="1" applyFont="1" applyFill="1" applyBorder="1" applyAlignment="1" applyProtection="1">
      <alignment horizontal="center" vertical="center" wrapText="1"/>
      <protection locked="0"/>
    </xf>
    <xf numFmtId="167" fontId="8" fillId="2" borderId="1" xfId="15" applyNumberFormat="1" applyFont="1" applyFill="1" applyBorder="1" applyAlignment="1" applyProtection="1">
      <alignment horizontal="center" vertical="center" wrapText="1"/>
      <protection locked="0"/>
    </xf>
    <xf numFmtId="0" fontId="8" fillId="0" borderId="1" xfId="11" applyFont="1" applyBorder="1" applyAlignment="1" applyProtection="1">
      <alignment horizontal="center" vertical="center" wrapText="1"/>
      <protection locked="0"/>
    </xf>
    <xf numFmtId="167" fontId="8" fillId="2" borderId="14" xfId="15" applyNumberFormat="1" applyFont="1" applyFill="1" applyBorder="1" applyAlignment="1" applyProtection="1">
      <alignment horizontal="center" vertical="center" wrapText="1"/>
      <protection locked="0"/>
    </xf>
    <xf numFmtId="0" fontId="8" fillId="2" borderId="12" xfId="13" applyFont="1" applyFill="1" applyBorder="1" applyAlignment="1" applyProtection="1">
      <alignment horizontal="right" vertical="center"/>
      <protection locked="0"/>
    </xf>
    <xf numFmtId="165" fontId="4" fillId="0" borderId="12" xfId="0" applyNumberFormat="1" applyFont="1" applyBorder="1"/>
    <xf numFmtId="165" fontId="4" fillId="0" borderId="14" xfId="0" applyNumberFormat="1" applyFont="1" applyBorder="1"/>
    <xf numFmtId="165" fontId="4" fillId="0" borderId="17" xfId="0" applyNumberFormat="1" applyFont="1" applyBorder="1" applyAlignment="1">
      <alignment wrapText="1"/>
    </xf>
    <xf numFmtId="165" fontId="4" fillId="0" borderId="17" xfId="0" applyNumberFormat="1" applyFont="1" applyBorder="1"/>
    <xf numFmtId="165" fontId="4" fillId="6" borderId="68" xfId="0" applyNumberFormat="1" applyFont="1" applyFill="1" applyBorder="1"/>
    <xf numFmtId="0" fontId="15" fillId="2" borderId="26" xfId="14" applyFont="1" applyFill="1" applyBorder="1" applyProtection="1">
      <protection locked="0"/>
    </xf>
    <xf numFmtId="165" fontId="4" fillId="6" borderId="24" xfId="0" applyNumberFormat="1" applyFont="1" applyFill="1" applyBorder="1"/>
    <xf numFmtId="165" fontId="4" fillId="6" borderId="26" xfId="0" applyNumberFormat="1" applyFont="1" applyFill="1" applyBorder="1"/>
    <xf numFmtId="165" fontId="4" fillId="6" borderId="69" xfId="0" applyNumberFormat="1" applyFont="1" applyFill="1" applyBorder="1"/>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10" xfId="0" applyFont="1" applyBorder="1"/>
    <xf numFmtId="0" fontId="4" fillId="0" borderId="10" xfId="0" applyFont="1" applyBorder="1" applyAlignment="1">
      <alignment wrapText="1"/>
    </xf>
    <xf numFmtId="0" fontId="4" fillId="0" borderId="39" xfId="0" applyFont="1" applyBorder="1" applyAlignment="1">
      <alignment wrapText="1"/>
    </xf>
    <xf numFmtId="0" fontId="4" fillId="0" borderId="11" xfId="0" applyFont="1" applyBorder="1" applyAlignment="1">
      <alignment wrapText="1"/>
    </xf>
    <xf numFmtId="0" fontId="33" fillId="0" borderId="0" xfId="0" applyFont="1" applyAlignment="1">
      <alignment wrapText="1"/>
    </xf>
    <xf numFmtId="0" fontId="4" fillId="0" borderId="27" xfId="0" applyFont="1" applyBorder="1"/>
    <xf numFmtId="0" fontId="4" fillId="0" borderId="12" xfId="0" applyFont="1" applyBorder="1"/>
    <xf numFmtId="9" fontId="4" fillId="0" borderId="14" xfId="2" applyFont="1" applyBorder="1"/>
    <xf numFmtId="0" fontId="4" fillId="0" borderId="24" xfId="0" applyFont="1" applyBorder="1"/>
    <xf numFmtId="0" fontId="34" fillId="0" borderId="25" xfId="0" applyFont="1" applyBorder="1"/>
    <xf numFmtId="9" fontId="4" fillId="6" borderId="26" xfId="2" applyFont="1" applyFill="1" applyBorder="1"/>
    <xf numFmtId="43" fontId="4" fillId="0" borderId="0" xfId="1" applyFont="1"/>
    <xf numFmtId="0" fontId="63" fillId="2" borderId="71" xfId="0" applyFont="1" applyFill="1" applyBorder="1" applyAlignment="1">
      <alignment horizontal="left"/>
    </xf>
    <xf numFmtId="0" fontId="63" fillId="2" borderId="4" xfId="0" applyFont="1" applyFill="1" applyBorder="1" applyAlignment="1">
      <alignment horizontal="left"/>
    </xf>
    <xf numFmtId="43" fontId="4" fillId="0" borderId="1" xfId="1" applyFont="1" applyBorder="1" applyAlignment="1">
      <alignment horizontal="center" vertical="center" wrapText="1"/>
    </xf>
    <xf numFmtId="43" fontId="4" fillId="0" borderId="14" xfId="1" applyFont="1" applyBorder="1" applyAlignment="1">
      <alignment horizontal="center" vertical="center" wrapText="1"/>
    </xf>
    <xf numFmtId="0" fontId="34" fillId="2" borderId="47" xfId="0" applyFont="1" applyFill="1" applyBorder="1" applyAlignment="1">
      <alignment vertical="center"/>
    </xf>
    <xf numFmtId="0" fontId="4" fillId="2" borderId="16" xfId="0" applyFont="1" applyFill="1" applyBorder="1" applyAlignment="1">
      <alignment vertical="center"/>
    </xf>
    <xf numFmtId="43" fontId="4" fillId="2" borderId="16" xfId="1" applyFont="1" applyFill="1" applyBorder="1" applyAlignment="1">
      <alignment vertical="center"/>
    </xf>
    <xf numFmtId="43" fontId="4" fillId="2" borderId="17" xfId="1" applyFont="1" applyFill="1" applyBorder="1" applyAlignment="1">
      <alignment vertical="center"/>
    </xf>
    <xf numFmtId="0" fontId="4" fillId="0" borderId="36" xfId="0" applyFont="1" applyBorder="1" applyAlignment="1">
      <alignment horizontal="center" vertical="center"/>
    </xf>
    <xf numFmtId="0" fontId="4" fillId="0" borderId="27" xfId="0" applyFont="1" applyBorder="1" applyAlignment="1">
      <alignment vertical="center"/>
    </xf>
    <xf numFmtId="43" fontId="4" fillId="0" borderId="19" xfId="1" applyFont="1" applyBorder="1" applyAlignment="1">
      <alignment vertical="center"/>
    </xf>
    <xf numFmtId="43" fontId="4" fillId="0" borderId="40" xfId="1" applyFont="1" applyBorder="1" applyAlignment="1">
      <alignment vertical="center"/>
    </xf>
    <xf numFmtId="0" fontId="4" fillId="0" borderId="1" xfId="0" applyFont="1" applyBorder="1" applyAlignment="1">
      <alignment vertical="center"/>
    </xf>
    <xf numFmtId="43" fontId="4" fillId="0" borderId="15" xfId="1" applyFont="1" applyBorder="1" applyAlignment="1">
      <alignment vertical="center"/>
    </xf>
    <xf numFmtId="43" fontId="4" fillId="0" borderId="14" xfId="1" applyFont="1" applyBorder="1" applyAlignment="1">
      <alignment vertical="center"/>
    </xf>
    <xf numFmtId="0" fontId="34" fillId="0" borderId="1" xfId="0" applyFont="1" applyBorder="1" applyAlignment="1">
      <alignment vertical="center"/>
    </xf>
    <xf numFmtId="0" fontId="4" fillId="0" borderId="24" xfId="0" applyFont="1" applyBorder="1" applyAlignment="1">
      <alignment horizontal="center" vertical="center"/>
    </xf>
    <xf numFmtId="0" fontId="34" fillId="0" borderId="25" xfId="0" applyFont="1" applyBorder="1" applyAlignment="1">
      <alignment vertical="center"/>
    </xf>
    <xf numFmtId="43" fontId="4" fillId="0" borderId="25" xfId="1" applyFont="1" applyBorder="1" applyAlignment="1">
      <alignment vertical="center"/>
    </xf>
    <xf numFmtId="0" fontId="4" fillId="2" borderId="64" xfId="0" applyFont="1" applyFill="1" applyBorder="1" applyAlignment="1">
      <alignment horizontal="center" vertical="center"/>
    </xf>
    <xf numFmtId="0" fontId="4" fillId="2" borderId="0" xfId="0" applyFont="1" applyFill="1" applyAlignment="1">
      <alignment vertical="center"/>
    </xf>
    <xf numFmtId="0" fontId="4" fillId="0" borderId="9" xfId="0" applyFont="1" applyBorder="1" applyAlignment="1">
      <alignment horizontal="center" vertical="center"/>
    </xf>
    <xf numFmtId="0" fontId="4" fillId="0" borderId="10" xfId="0" applyFont="1" applyBorder="1" applyAlignment="1">
      <alignment vertical="center"/>
    </xf>
    <xf numFmtId="164" fontId="17" fillId="3" borderId="63" xfId="6" applyBorder="1"/>
    <xf numFmtId="43" fontId="4" fillId="0" borderId="39" xfId="1" applyFont="1" applyBorder="1" applyAlignment="1">
      <alignment vertical="center"/>
    </xf>
    <xf numFmtId="43" fontId="4" fillId="0" borderId="11" xfId="1" applyFont="1" applyBorder="1" applyAlignment="1">
      <alignment vertical="center"/>
    </xf>
    <xf numFmtId="0" fontId="4" fillId="0" borderId="22" xfId="0" applyFont="1" applyBorder="1" applyAlignment="1">
      <alignment horizontal="center" vertical="center"/>
    </xf>
    <xf numFmtId="0" fontId="4" fillId="0" borderId="2" xfId="0" applyFont="1" applyBorder="1" applyAlignment="1">
      <alignment vertical="center"/>
    </xf>
    <xf numFmtId="164" fontId="17" fillId="3" borderId="37" xfId="6" applyBorder="1"/>
    <xf numFmtId="164" fontId="17" fillId="3" borderId="43" xfId="6" applyBorder="1"/>
    <xf numFmtId="164" fontId="17" fillId="3" borderId="41" xfId="6" applyBorder="1"/>
    <xf numFmtId="43" fontId="4" fillId="0" borderId="3" xfId="1" applyFont="1" applyBorder="1" applyAlignment="1">
      <alignment vertical="center"/>
    </xf>
    <xf numFmtId="43" fontId="4" fillId="0" borderId="23" xfId="1" applyFont="1" applyBorder="1" applyAlignment="1">
      <alignment vertical="center"/>
    </xf>
    <xf numFmtId="0" fontId="4" fillId="0" borderId="72" xfId="0" applyFont="1" applyBorder="1" applyAlignment="1">
      <alignment horizontal="center" vertical="center"/>
    </xf>
    <xf numFmtId="0" fontId="4" fillId="0" borderId="73" xfId="0" applyFont="1" applyBorder="1" applyAlignment="1">
      <alignment vertical="center"/>
    </xf>
    <xf numFmtId="164" fontId="17" fillId="3" borderId="7" xfId="6" applyBorder="1"/>
    <xf numFmtId="10" fontId="4" fillId="0" borderId="74" xfId="2" applyNumberFormat="1" applyFont="1" applyBorder="1" applyAlignment="1">
      <alignment vertical="center"/>
    </xf>
    <xf numFmtId="10" fontId="4" fillId="0" borderId="75" xfId="2" applyNumberFormat="1" applyFont="1" applyBorder="1" applyAlignment="1">
      <alignment vertical="center"/>
    </xf>
    <xf numFmtId="0" fontId="64" fillId="2" borderId="0" xfId="16" applyFont="1" applyFill="1" applyAlignment="1" applyProtection="1">
      <alignment vertical="center"/>
      <protection locked="0"/>
    </xf>
    <xf numFmtId="0" fontId="65" fillId="2" borderId="1" xfId="13" applyFont="1" applyFill="1" applyBorder="1" applyAlignment="1" applyProtection="1">
      <alignment vertical="center" wrapText="1"/>
      <protection locked="0"/>
    </xf>
    <xf numFmtId="0" fontId="65" fillId="0" borderId="1" xfId="17" applyFont="1" applyBorder="1" applyAlignment="1" applyProtection="1">
      <alignment horizontal="center" vertical="center" wrapText="1"/>
      <protection locked="0"/>
    </xf>
    <xf numFmtId="3" fontId="65" fillId="2" borderId="1" xfId="15" applyNumberFormat="1" applyFont="1" applyFill="1" applyBorder="1" applyAlignment="1" applyProtection="1">
      <alignment horizontal="center" vertical="center" wrapText="1"/>
      <protection locked="0"/>
    </xf>
    <xf numFmtId="9" fontId="65" fillId="2" borderId="1" xfId="18" applyNumberFormat="1" applyFont="1" applyFill="1" applyBorder="1" applyAlignment="1" applyProtection="1">
      <alignment horizontal="center" vertical="center" wrapText="1"/>
      <protection locked="0"/>
    </xf>
    <xf numFmtId="0" fontId="65" fillId="2" borderId="1" xfId="17" applyFont="1" applyFill="1" applyBorder="1" applyAlignment="1" applyProtection="1">
      <alignment horizontal="center" vertical="center" wrapText="1"/>
      <protection locked="0"/>
    </xf>
    <xf numFmtId="0" fontId="64" fillId="2" borderId="1" xfId="17" applyFont="1" applyFill="1" applyBorder="1" applyProtection="1">
      <protection locked="0"/>
    </xf>
    <xf numFmtId="3" fontId="65" fillId="7" borderId="1" xfId="13" applyNumberFormat="1" applyFont="1" applyFill="1" applyBorder="1"/>
    <xf numFmtId="0" fontId="67" fillId="2" borderId="1" xfId="17" applyFont="1" applyFill="1" applyBorder="1" applyAlignment="1" applyProtection="1">
      <alignment horizontal="right"/>
      <protection locked="0"/>
    </xf>
    <xf numFmtId="170" fontId="65" fillId="7" borderId="1" xfId="13" applyNumberFormat="1" applyFont="1" applyFill="1" applyBorder="1" applyProtection="1">
      <protection locked="0"/>
    </xf>
    <xf numFmtId="167" fontId="65" fillId="7" borderId="1" xfId="15" applyNumberFormat="1" applyFont="1" applyFill="1" applyBorder="1" applyAlignment="1" applyProtection="1"/>
    <xf numFmtId="0" fontId="65" fillId="2" borderId="1" xfId="17" applyFont="1" applyFill="1" applyBorder="1" applyAlignment="1" applyProtection="1">
      <alignment horizontal="left" vertical="center"/>
      <protection locked="0"/>
    </xf>
    <xf numFmtId="0" fontId="31" fillId="2" borderId="1" xfId="17" applyFont="1" applyFill="1" applyBorder="1" applyAlignment="1" applyProtection="1">
      <alignment horizontal="right"/>
      <protection locked="0"/>
    </xf>
    <xf numFmtId="0" fontId="65" fillId="0" borderId="1" xfId="17" applyFont="1" applyBorder="1" applyAlignment="1" applyProtection="1">
      <alignment horizontal="left" vertical="center"/>
      <protection locked="0"/>
    </xf>
    <xf numFmtId="0" fontId="64" fillId="2" borderId="1" xfId="14" applyFont="1" applyFill="1" applyBorder="1" applyProtection="1">
      <protection locked="0"/>
    </xf>
    <xf numFmtId="3" fontId="64" fillId="15" borderId="1" xfId="14" applyNumberFormat="1" applyFont="1" applyFill="1" applyBorder="1"/>
    <xf numFmtId="0" fontId="70" fillId="15" borderId="15" xfId="19" applyFont="1" applyFill="1" applyBorder="1" applyAlignment="1" applyProtection="1">
      <alignment vertical="center" wrapText="1"/>
      <protection locked="0"/>
    </xf>
    <xf numFmtId="0" fontId="71" fillId="15" borderId="28" xfId="19" applyFont="1" applyFill="1" applyBorder="1" applyProtection="1">
      <alignment vertical="center"/>
      <protection locked="0"/>
    </xf>
    <xf numFmtId="0" fontId="72" fillId="16" borderId="2" xfId="19" applyFont="1" applyFill="1" applyBorder="1" applyAlignment="1" applyProtection="1">
      <alignment horizontal="center" vertical="center"/>
      <protection locked="0"/>
    </xf>
    <xf numFmtId="0" fontId="72" fillId="0" borderId="28" xfId="19" applyFont="1" applyBorder="1" applyAlignment="1" applyProtection="1">
      <alignment horizontal="left" vertical="center" wrapText="1"/>
      <protection locked="0"/>
    </xf>
    <xf numFmtId="167" fontId="72" fillId="0" borderId="1" xfId="20" applyNumberFormat="1" applyFont="1" applyFill="1" applyBorder="1" applyAlignment="1" applyProtection="1">
      <alignment horizontal="right" vertical="center"/>
      <protection locked="0"/>
    </xf>
    <xf numFmtId="0" fontId="70" fillId="14" borderId="1" xfId="19" applyFont="1" applyFill="1" applyBorder="1" applyAlignment="1" applyProtection="1">
      <alignment horizontal="center" vertical="center"/>
      <protection locked="0"/>
    </xf>
    <xf numFmtId="0" fontId="70" fillId="14" borderId="28" xfId="19" applyFont="1" applyFill="1" applyBorder="1" applyAlignment="1" applyProtection="1">
      <alignment vertical="top" wrapText="1"/>
      <protection locked="0"/>
    </xf>
    <xf numFmtId="167" fontId="72" fillId="14" borderId="1" xfId="20" applyNumberFormat="1" applyFont="1" applyFill="1" applyBorder="1" applyAlignment="1" applyProtection="1">
      <alignment horizontal="right" vertical="center"/>
    </xf>
    <xf numFmtId="0" fontId="70" fillId="15" borderId="15" xfId="19" applyFont="1" applyFill="1" applyBorder="1" applyProtection="1">
      <alignment vertical="center"/>
      <protection locked="0"/>
    </xf>
    <xf numFmtId="167" fontId="71" fillId="15" borderId="28" xfId="20" applyNumberFormat="1" applyFont="1" applyFill="1" applyBorder="1" applyAlignment="1" applyProtection="1">
      <alignment horizontal="right" vertical="center"/>
      <protection locked="0"/>
    </xf>
    <xf numFmtId="0" fontId="73" fillId="16" borderId="2" xfId="19" applyFont="1" applyFill="1" applyBorder="1" applyAlignment="1" applyProtection="1">
      <alignment horizontal="center" vertical="center"/>
      <protection locked="0"/>
    </xf>
    <xf numFmtId="0" fontId="72" fillId="16" borderId="1" xfId="19" applyFont="1" applyFill="1" applyBorder="1" applyAlignment="1" applyProtection="1">
      <alignment vertical="center" wrapText="1"/>
      <protection locked="0"/>
    </xf>
    <xf numFmtId="0" fontId="72" fillId="16" borderId="1" xfId="19" applyFont="1" applyFill="1" applyBorder="1" applyAlignment="1" applyProtection="1">
      <alignment horizontal="left" vertical="center" wrapText="1"/>
      <protection locked="0"/>
    </xf>
    <xf numFmtId="0" fontId="72" fillId="0" borderId="1" xfId="19" applyFont="1" applyBorder="1" applyAlignment="1" applyProtection="1">
      <alignment horizontal="left" vertical="center" wrapText="1"/>
      <protection locked="0"/>
    </xf>
    <xf numFmtId="0" fontId="73" fillId="2" borderId="2" xfId="19" applyFont="1" applyFill="1" applyBorder="1" applyAlignment="1" applyProtection="1">
      <alignment horizontal="center" vertical="center"/>
      <protection locked="0"/>
    </xf>
    <xf numFmtId="0" fontId="72" fillId="0" borderId="1" xfId="19" applyFont="1" applyBorder="1" applyAlignment="1" applyProtection="1">
      <alignment vertical="center" wrapText="1"/>
      <protection locked="0"/>
    </xf>
    <xf numFmtId="0" fontId="74" fillId="14" borderId="1" xfId="19" applyFont="1" applyFill="1" applyBorder="1" applyAlignment="1" applyProtection="1">
      <alignment horizontal="center" vertical="center"/>
      <protection locked="0"/>
    </xf>
    <xf numFmtId="0" fontId="70" fillId="14" borderId="28" xfId="19" applyFont="1" applyFill="1" applyBorder="1" applyAlignment="1" applyProtection="1">
      <alignment vertical="center" wrapText="1"/>
      <protection locked="0"/>
    </xf>
    <xf numFmtId="167" fontId="70" fillId="15" borderId="28" xfId="20" applyNumberFormat="1" applyFont="1" applyFill="1" applyBorder="1" applyAlignment="1" applyProtection="1">
      <alignment horizontal="right" vertical="center"/>
      <protection locked="0"/>
    </xf>
    <xf numFmtId="0" fontId="72" fillId="16" borderId="28" xfId="19" applyFont="1" applyFill="1" applyBorder="1" applyAlignment="1" applyProtection="1">
      <alignment vertical="center" wrapText="1"/>
      <protection locked="0"/>
    </xf>
    <xf numFmtId="167" fontId="2" fillId="0" borderId="0" xfId="0" applyNumberFormat="1" applyFont="1"/>
    <xf numFmtId="0" fontId="71" fillId="15" borderId="15" xfId="19" applyFont="1" applyFill="1" applyBorder="1" applyProtection="1">
      <alignment vertical="center"/>
      <protection locked="0"/>
    </xf>
    <xf numFmtId="167" fontId="72" fillId="2" borderId="1" xfId="20" applyNumberFormat="1" applyFont="1" applyFill="1" applyBorder="1" applyAlignment="1" applyProtection="1">
      <alignment horizontal="right" vertical="center"/>
      <protection locked="0"/>
    </xf>
    <xf numFmtId="0" fontId="73" fillId="2" borderId="1" xfId="19" applyFont="1" applyFill="1" applyBorder="1" applyAlignment="1" applyProtection="1">
      <alignment horizontal="center" vertical="center"/>
      <protection locked="0"/>
    </xf>
    <xf numFmtId="0" fontId="72" fillId="16" borderId="28" xfId="19" applyFont="1" applyFill="1" applyBorder="1" applyAlignment="1" applyProtection="1">
      <alignment horizontal="left" vertical="center" wrapText="1"/>
      <protection locked="0"/>
    </xf>
    <xf numFmtId="0" fontId="62" fillId="0" borderId="0" xfId="0" applyFont="1" applyAlignment="1">
      <alignment wrapText="1"/>
    </xf>
    <xf numFmtId="0" fontId="76" fillId="0" borderId="0" xfId="16" applyFont="1" applyAlignment="1" applyProtection="1">
      <alignment vertical="center"/>
      <protection locked="0"/>
    </xf>
    <xf numFmtId="0" fontId="65" fillId="2" borderId="1" xfId="13" applyFont="1" applyFill="1" applyBorder="1" applyProtection="1">
      <protection locked="0"/>
    </xf>
    <xf numFmtId="0" fontId="65" fillId="0" borderId="1" xfId="17" applyFont="1" applyBorder="1" applyAlignment="1" applyProtection="1">
      <alignment horizontal="center" vertical="top" wrapText="1"/>
      <protection locked="0"/>
    </xf>
    <xf numFmtId="0" fontId="64" fillId="2" borderId="1" xfId="17" applyFont="1" applyFill="1" applyBorder="1" applyAlignment="1" applyProtection="1">
      <alignment wrapText="1"/>
      <protection locked="0"/>
    </xf>
    <xf numFmtId="0" fontId="31" fillId="2" borderId="1" xfId="17" applyFont="1" applyFill="1" applyBorder="1" applyAlignment="1" applyProtection="1">
      <alignment horizontal="right" wrapText="1"/>
      <protection locked="0"/>
    </xf>
    <xf numFmtId="3" fontId="65" fillId="0" borderId="1" xfId="13" applyNumberFormat="1" applyFont="1" applyBorder="1"/>
    <xf numFmtId="0" fontId="4" fillId="2" borderId="62" xfId="0" applyFont="1" applyFill="1" applyBorder="1"/>
    <xf numFmtId="0" fontId="4" fillId="2" borderId="76" xfId="0" applyFont="1" applyFill="1" applyBorder="1" applyAlignment="1">
      <alignment wrapText="1"/>
    </xf>
    <xf numFmtId="0" fontId="4" fillId="2" borderId="77" xfId="0" applyFont="1" applyFill="1" applyBorder="1"/>
    <xf numFmtId="0" fontId="34" fillId="2" borderId="33" xfId="0" applyFont="1" applyFill="1" applyBorder="1" applyAlignment="1">
      <alignment horizontal="center" wrapText="1"/>
    </xf>
    <xf numFmtId="0" fontId="4" fillId="0" borderId="1" xfId="0" applyFont="1" applyBorder="1" applyAlignment="1">
      <alignment horizontal="center"/>
    </xf>
    <xf numFmtId="0" fontId="4" fillId="2" borderId="64" xfId="0" applyFont="1" applyFill="1" applyBorder="1"/>
    <xf numFmtId="0" fontId="34" fillId="2" borderId="0" xfId="0" applyFont="1" applyFill="1" applyAlignment="1">
      <alignment horizontal="center" wrapText="1"/>
    </xf>
    <xf numFmtId="0" fontId="4" fillId="2" borderId="0" xfId="0" applyFont="1" applyFill="1" applyAlignment="1">
      <alignment horizontal="center"/>
    </xf>
    <xf numFmtId="0" fontId="4" fillId="2" borderId="13" xfId="0" applyFont="1" applyFill="1" applyBorder="1" applyAlignment="1">
      <alignment horizontal="center" vertical="center" wrapText="1"/>
    </xf>
    <xf numFmtId="0" fontId="4" fillId="0" borderId="1" xfId="0" applyFont="1" applyBorder="1" applyAlignment="1">
      <alignment wrapText="1"/>
    </xf>
    <xf numFmtId="167" fontId="4" fillId="0" borderId="14" xfId="1" applyNumberFormat="1" applyFont="1" applyBorder="1"/>
    <xf numFmtId="0" fontId="63" fillId="0" borderId="1" xfId="0" applyFont="1" applyBorder="1" applyAlignment="1">
      <alignment horizontal="left" wrapText="1" indent="2"/>
    </xf>
    <xf numFmtId="164" fontId="17" fillId="3" borderId="1" xfId="6" applyBorder="1"/>
    <xf numFmtId="43" fontId="0" fillId="0" borderId="0" xfId="0" applyNumberFormat="1"/>
    <xf numFmtId="167" fontId="4" fillId="0" borderId="1" xfId="1" applyNumberFormat="1" applyFont="1" applyBorder="1" applyAlignment="1">
      <alignment vertical="center"/>
    </xf>
    <xf numFmtId="167" fontId="0" fillId="0" borderId="0" xfId="0" applyNumberFormat="1"/>
    <xf numFmtId="167" fontId="4" fillId="0" borderId="1" xfId="1" applyNumberFormat="1" applyFont="1" applyBorder="1" applyAlignment="1"/>
    <xf numFmtId="167" fontId="4" fillId="0" borderId="1" xfId="1" applyNumberFormat="1" applyFont="1" applyBorder="1" applyAlignment="1">
      <alignment vertical="top"/>
    </xf>
    <xf numFmtId="0" fontId="34" fillId="0" borderId="12" xfId="0" applyFont="1" applyBorder="1"/>
    <xf numFmtId="0" fontId="34" fillId="0" borderId="1" xfId="0" applyFont="1" applyBorder="1" applyAlignment="1">
      <alignment wrapText="1"/>
    </xf>
    <xf numFmtId="167" fontId="34" fillId="0" borderId="14" xfId="1" applyNumberFormat="1" applyFont="1" applyBorder="1"/>
    <xf numFmtId="0" fontId="3" fillId="2" borderId="64" xfId="0" applyFont="1" applyFill="1" applyBorder="1" applyAlignment="1">
      <alignment horizontal="left"/>
    </xf>
    <xf numFmtId="0" fontId="34" fillId="2" borderId="0" xfId="0" applyFont="1" applyFill="1" applyAlignment="1">
      <alignment horizontal="center"/>
    </xf>
    <xf numFmtId="167" fontId="4" fillId="2" borderId="0" xfId="1" applyNumberFormat="1" applyFont="1" applyFill="1" applyBorder="1"/>
    <xf numFmtId="167" fontId="4" fillId="2" borderId="0" xfId="1" applyNumberFormat="1" applyFont="1" applyFill="1" applyBorder="1" applyAlignment="1">
      <alignment vertical="center"/>
    </xf>
    <xf numFmtId="167" fontId="4" fillId="2" borderId="13" xfId="1" applyNumberFormat="1" applyFont="1" applyFill="1" applyBorder="1"/>
    <xf numFmtId="167" fontId="4" fillId="0" borderId="14" xfId="1" applyNumberFormat="1" applyFont="1" applyFill="1" applyBorder="1"/>
    <xf numFmtId="0" fontId="63" fillId="0" borderId="1" xfId="0" applyFont="1" applyBorder="1" applyAlignment="1">
      <alignment horizontal="left" wrapText="1" indent="4"/>
    </xf>
    <xf numFmtId="0" fontId="4" fillId="2" borderId="0" xfId="0" applyFont="1" applyFill="1" applyAlignment="1">
      <alignment wrapText="1"/>
    </xf>
    <xf numFmtId="0" fontId="4" fillId="2" borderId="0" xfId="0" applyFont="1" applyFill="1"/>
    <xf numFmtId="0" fontId="4" fillId="2" borderId="13" xfId="0" applyFont="1" applyFill="1" applyBorder="1"/>
    <xf numFmtId="0" fontId="34" fillId="0" borderId="24" xfId="0" applyFont="1" applyBorder="1"/>
    <xf numFmtId="0" fontId="34" fillId="0" borderId="25" xfId="0" applyFont="1" applyBorder="1" applyAlignment="1">
      <alignment wrapText="1"/>
    </xf>
    <xf numFmtId="10" fontId="34" fillId="0" borderId="26" xfId="2" applyNumberFormat="1" applyFont="1" applyBorder="1"/>
    <xf numFmtId="167" fontId="4" fillId="0" borderId="0" xfId="0" applyNumberFormat="1" applyFont="1"/>
    <xf numFmtId="0" fontId="77" fillId="0" borderId="0" xfId="5" applyFont="1"/>
    <xf numFmtId="0" fontId="78" fillId="0" borderId="0" xfId="0" applyFont="1"/>
    <xf numFmtId="14" fontId="78" fillId="0" borderId="0" xfId="0" applyNumberFormat="1" applyFont="1"/>
    <xf numFmtId="0" fontId="79" fillId="0" borderId="0" xfId="5" applyFont="1"/>
    <xf numFmtId="0" fontId="81" fillId="0" borderId="1" xfId="0" applyFont="1" applyBorder="1" applyAlignment="1">
      <alignment horizontal="center" vertical="center" wrapText="1"/>
    </xf>
    <xf numFmtId="49" fontId="82" fillId="2" borderId="1" xfId="13" applyNumberFormat="1" applyFont="1" applyFill="1" applyBorder="1" applyAlignment="1" applyProtection="1">
      <alignment horizontal="right" vertical="center"/>
      <protection locked="0"/>
    </xf>
    <xf numFmtId="0" fontId="82" fillId="2" borderId="1" xfId="11" applyFont="1" applyFill="1" applyBorder="1" applyAlignment="1" applyProtection="1">
      <alignment horizontal="left" vertical="center" wrapText="1"/>
      <protection locked="0"/>
    </xf>
    <xf numFmtId="43" fontId="78" fillId="0" borderId="1" xfId="1" applyFont="1" applyFill="1" applyBorder="1"/>
    <xf numFmtId="43" fontId="78" fillId="0" borderId="1" xfId="1" applyFont="1" applyBorder="1"/>
    <xf numFmtId="0" fontId="81" fillId="0" borderId="1" xfId="0" applyFont="1" applyBorder="1"/>
    <xf numFmtId="43" fontId="78" fillId="0" borderId="0" xfId="0" applyNumberFormat="1" applyFont="1"/>
    <xf numFmtId="0" fontId="83" fillId="0" borderId="0" xfId="0" applyFont="1" applyAlignment="1">
      <alignment horizontal="right"/>
    </xf>
    <xf numFmtId="167" fontId="83" fillId="0" borderId="0" xfId="1" applyNumberFormat="1" applyFont="1"/>
    <xf numFmtId="3" fontId="78" fillId="0" borderId="0" xfId="0" applyNumberFormat="1" applyFont="1"/>
    <xf numFmtId="0" fontId="82" fillId="0" borderId="1" xfId="11" applyFont="1" applyBorder="1" applyAlignment="1" applyProtection="1">
      <alignment horizontal="left" vertical="center" wrapText="1"/>
      <protection locked="0"/>
    </xf>
    <xf numFmtId="0" fontId="84" fillId="0" borderId="1" xfId="11" applyFont="1" applyBorder="1" applyAlignment="1" applyProtection="1">
      <alignment horizontal="left" vertical="center" wrapText="1"/>
      <protection locked="0"/>
    </xf>
    <xf numFmtId="49" fontId="82" fillId="0" borderId="1" xfId="13" applyNumberFormat="1" applyFont="1" applyBorder="1" applyAlignment="1" applyProtection="1">
      <alignment horizontal="right" vertical="center"/>
      <protection locked="0"/>
    </xf>
    <xf numFmtId="49" fontId="85" fillId="0" borderId="1" xfId="13" applyNumberFormat="1" applyFont="1" applyBorder="1" applyAlignment="1" applyProtection="1">
      <alignment horizontal="right" vertical="center"/>
      <protection locked="0"/>
    </xf>
    <xf numFmtId="0" fontId="77" fillId="0" borderId="0" xfId="0" applyFont="1"/>
    <xf numFmtId="0" fontId="77" fillId="0" borderId="0" xfId="0" applyFont="1" applyAlignment="1">
      <alignment wrapText="1"/>
    </xf>
    <xf numFmtId="0" fontId="77" fillId="0" borderId="1" xfId="0" applyFont="1" applyBorder="1" applyAlignment="1">
      <alignment horizontal="center" vertical="center"/>
    </xf>
    <xf numFmtId="0" fontId="77" fillId="0" borderId="1" xfId="0" applyFont="1" applyBorder="1" applyAlignment="1">
      <alignment horizontal="center" vertical="center" wrapText="1"/>
    </xf>
    <xf numFmtId="0" fontId="77" fillId="0" borderId="2" xfId="0" applyFont="1" applyBorder="1" applyAlignment="1">
      <alignment horizontal="center" vertical="center" wrapText="1"/>
    </xf>
    <xf numFmtId="0" fontId="77" fillId="0" borderId="27" xfId="0" applyFont="1" applyBorder="1" applyAlignment="1">
      <alignment horizontal="center" vertical="center" wrapText="1"/>
    </xf>
    <xf numFmtId="49" fontId="82" fillId="2" borderId="1" xfId="13" applyNumberFormat="1" applyFont="1" applyFill="1" applyBorder="1" applyAlignment="1" applyProtection="1">
      <alignment horizontal="right" vertical="center" wrapText="1"/>
      <protection locked="0"/>
    </xf>
    <xf numFmtId="43" fontId="77" fillId="0" borderId="1" xfId="1" applyFont="1" applyBorder="1"/>
    <xf numFmtId="43" fontId="77" fillId="0" borderId="1" xfId="1" applyFont="1" applyFill="1" applyBorder="1"/>
    <xf numFmtId="0" fontId="77" fillId="0" borderId="1" xfId="0" applyFont="1" applyBorder="1"/>
    <xf numFmtId="171" fontId="77" fillId="6" borderId="1" xfId="23" applyFont="1" applyFill="1" applyBorder="1"/>
    <xf numFmtId="43" fontId="77" fillId="0" borderId="1" xfId="1" applyFont="1" applyBorder="1" applyAlignment="1">
      <alignment horizontal="right"/>
    </xf>
    <xf numFmtId="0" fontId="77" fillId="0" borderId="1" xfId="0" applyFont="1" applyBorder="1" applyAlignment="1">
      <alignment horizontal="right"/>
    </xf>
    <xf numFmtId="43" fontId="77" fillId="0" borderId="1" xfId="1" applyFont="1" applyFill="1" applyBorder="1" applyAlignment="1">
      <alignment horizontal="right"/>
    </xf>
    <xf numFmtId="43" fontId="77" fillId="0" borderId="1" xfId="0" applyNumberFormat="1" applyFont="1" applyBorder="1" applyAlignment="1">
      <alignment horizontal="right"/>
    </xf>
    <xf numFmtId="49" fontId="82" fillId="0" borderId="1" xfId="13" applyNumberFormat="1" applyFont="1" applyBorder="1" applyAlignment="1" applyProtection="1">
      <alignment horizontal="right" vertical="center" wrapText="1"/>
      <protection locked="0"/>
    </xf>
    <xf numFmtId="49" fontId="85" fillId="0" borderId="1" xfId="13" applyNumberFormat="1" applyFont="1" applyBorder="1" applyAlignment="1" applyProtection="1">
      <alignment horizontal="right" vertical="center" wrapText="1"/>
      <protection locked="0"/>
    </xf>
    <xf numFmtId="0" fontId="80" fillId="0" borderId="1" xfId="0" applyFont="1" applyBorder="1"/>
    <xf numFmtId="43" fontId="80" fillId="0" borderId="1" xfId="1" applyFont="1" applyBorder="1" applyAlignment="1">
      <alignment horizontal="right"/>
    </xf>
    <xf numFmtId="167" fontId="80" fillId="0" borderId="1" xfId="1" applyNumberFormat="1" applyFont="1" applyBorder="1"/>
    <xf numFmtId="0" fontId="81" fillId="0" borderId="0" xfId="0" applyFont="1"/>
    <xf numFmtId="0" fontId="77" fillId="0" borderId="1" xfId="0" applyFont="1" applyBorder="1" applyAlignment="1">
      <alignment wrapText="1"/>
    </xf>
    <xf numFmtId="0" fontId="77" fillId="0" borderId="1" xfId="0" applyFont="1" applyBorder="1" applyAlignment="1">
      <alignment horizontal="left" indent="8"/>
    </xf>
    <xf numFmtId="167" fontId="77" fillId="0" borderId="1" xfId="1" applyNumberFormat="1" applyFont="1" applyFill="1" applyBorder="1" applyAlignment="1">
      <alignment horizontal="right"/>
    </xf>
    <xf numFmtId="0" fontId="78" fillId="0" borderId="0" xfId="0" applyFont="1" applyAlignment="1">
      <alignment wrapText="1"/>
    </xf>
    <xf numFmtId="14" fontId="78" fillId="0" borderId="0" xfId="0" applyNumberFormat="1" applyFont="1" applyAlignment="1">
      <alignment horizontal="left"/>
    </xf>
    <xf numFmtId="0" fontId="77" fillId="0" borderId="28" xfId="0" applyFont="1" applyBorder="1" applyAlignment="1">
      <alignment horizontal="center" vertical="center" wrapText="1"/>
    </xf>
    <xf numFmtId="0" fontId="77" fillId="0" borderId="1" xfId="0" applyFont="1" applyBorder="1" applyAlignment="1">
      <alignment horizontal="left" vertical="center" wrapText="1"/>
    </xf>
    <xf numFmtId="0" fontId="80" fillId="0" borderId="1" xfId="0" applyFont="1" applyBorder="1" applyAlignment="1">
      <alignment horizontal="left" indent="1"/>
    </xf>
    <xf numFmtId="0" fontId="80" fillId="0" borderId="1" xfId="0" applyFont="1" applyBorder="1" applyAlignment="1">
      <alignment horizontal="left" wrapText="1" indent="1"/>
    </xf>
    <xf numFmtId="43" fontId="81" fillId="0" borderId="1" xfId="1" applyFont="1" applyBorder="1"/>
    <xf numFmtId="0" fontId="77" fillId="0" borderId="1" xfId="0" applyFont="1" applyBorder="1" applyAlignment="1">
      <alignment horizontal="left" indent="1"/>
    </xf>
    <xf numFmtId="0" fontId="77" fillId="0" borderId="1" xfId="0" applyFont="1" applyBorder="1" applyAlignment="1">
      <alignment horizontal="left" indent="3"/>
    </xf>
    <xf numFmtId="0" fontId="77" fillId="0" borderId="1" xfId="0" applyFont="1" applyBorder="1" applyAlignment="1">
      <alignment horizontal="left" wrapText="1" indent="4"/>
    </xf>
    <xf numFmtId="0" fontId="77" fillId="0" borderId="1" xfId="0" applyFont="1" applyBorder="1" applyAlignment="1">
      <alignment horizontal="left" wrapText="1" indent="1"/>
    </xf>
    <xf numFmtId="43" fontId="83" fillId="0" borderId="0" xfId="0" applyNumberFormat="1" applyFont="1"/>
    <xf numFmtId="0" fontId="80" fillId="0" borderId="1" xfId="0" applyFont="1" applyBorder="1" applyAlignment="1">
      <alignment horizontal="left" vertical="center" indent="1"/>
    </xf>
    <xf numFmtId="167" fontId="83" fillId="0" borderId="0" xfId="0" applyNumberFormat="1" applyFont="1"/>
    <xf numFmtId="0" fontId="80" fillId="0" borderId="1" xfId="0" applyFont="1" applyBorder="1" applyAlignment="1">
      <alignment horizontal="center" vertical="center" wrapText="1"/>
    </xf>
    <xf numFmtId="0" fontId="77" fillId="17" borderId="1" xfId="0" applyFont="1" applyFill="1" applyBorder="1"/>
    <xf numFmtId="0" fontId="77" fillId="0" borderId="1" xfId="0" applyFont="1" applyBorder="1" applyAlignment="1">
      <alignment horizontal="left" wrapText="1"/>
    </xf>
    <xf numFmtId="0" fontId="77" fillId="0" borderId="1" xfId="0" applyFont="1" applyBorder="1" applyAlignment="1">
      <alignment horizontal="left" wrapText="1" indent="2"/>
    </xf>
    <xf numFmtId="0" fontId="80" fillId="0" borderId="27" xfId="0" applyFont="1" applyBorder="1"/>
    <xf numFmtId="0" fontId="77" fillId="0" borderId="0" xfId="0" applyFont="1" applyAlignment="1">
      <alignment horizontal="center" vertical="center"/>
    </xf>
    <xf numFmtId="0" fontId="77" fillId="0" borderId="0" xfId="0" applyFont="1" applyAlignment="1">
      <alignment horizontal="center"/>
    </xf>
    <xf numFmtId="43" fontId="77" fillId="0" borderId="0" xfId="0" applyNumberFormat="1" applyFont="1"/>
    <xf numFmtId="3" fontId="77" fillId="0" borderId="0" xfId="0" applyNumberFormat="1" applyFont="1"/>
    <xf numFmtId="0" fontId="77" fillId="0" borderId="4" xfId="0" applyFont="1" applyBorder="1" applyAlignment="1">
      <alignment horizontal="center" vertical="center" wrapText="1"/>
    </xf>
    <xf numFmtId="0" fontId="77" fillId="0" borderId="3" xfId="0" applyFont="1" applyBorder="1" applyAlignment="1">
      <alignment horizontal="center" vertical="center" wrapText="1"/>
    </xf>
    <xf numFmtId="0" fontId="77" fillId="0" borderId="0" xfId="0" applyFont="1" applyAlignment="1">
      <alignment horizontal="center" vertical="center" wrapText="1"/>
    </xf>
    <xf numFmtId="0" fontId="77" fillId="0" borderId="33" xfId="0" applyFont="1" applyBorder="1" applyAlignment="1">
      <alignment horizontal="center" vertical="center" wrapText="1"/>
    </xf>
    <xf numFmtId="0" fontId="77" fillId="0" borderId="27" xfId="0" applyFont="1" applyBorder="1" applyAlignment="1">
      <alignment wrapText="1"/>
    </xf>
    <xf numFmtId="0" fontId="77" fillId="0" borderId="19" xfId="0" applyFont="1" applyBorder="1" applyAlignment="1">
      <alignment wrapText="1"/>
    </xf>
    <xf numFmtId="0" fontId="77" fillId="0" borderId="1" xfId="0" applyFont="1" applyBorder="1" applyAlignment="1">
      <alignment horizontal="center"/>
    </xf>
    <xf numFmtId="43" fontId="80" fillId="0" borderId="1" xfId="1" applyFont="1" applyBorder="1"/>
    <xf numFmtId="0" fontId="80" fillId="7" borderId="1" xfId="0" applyFont="1" applyFill="1" applyBorder="1"/>
    <xf numFmtId="14" fontId="77" fillId="0" borderId="0" xfId="0" applyNumberFormat="1" applyFont="1"/>
    <xf numFmtId="0" fontId="77" fillId="0" borderId="36" xfId="0" applyFont="1" applyBorder="1"/>
    <xf numFmtId="0" fontId="80" fillId="0" borderId="40" xfId="0" applyFont="1" applyBorder="1"/>
    <xf numFmtId="0" fontId="77" fillId="0" borderId="12" xfId="0" applyFont="1" applyBorder="1" applyAlignment="1">
      <alignment horizontal="left" indent="1"/>
    </xf>
    <xf numFmtId="0" fontId="77" fillId="0" borderId="14" xfId="0" applyFont="1" applyBorder="1" applyAlignment="1">
      <alignment horizontal="left" indent="1"/>
    </xf>
    <xf numFmtId="0" fontId="77" fillId="0" borderId="12" xfId="0" applyFont="1" applyBorder="1" applyAlignment="1">
      <alignment horizontal="left" indent="2"/>
    </xf>
    <xf numFmtId="0" fontId="77" fillId="0" borderId="14" xfId="0" applyFont="1" applyBorder="1" applyAlignment="1">
      <alignment horizontal="left" indent="2"/>
    </xf>
    <xf numFmtId="49" fontId="77" fillId="0" borderId="12" xfId="0" applyNumberFormat="1" applyFont="1" applyBorder="1" applyAlignment="1">
      <alignment horizontal="left" indent="3"/>
    </xf>
    <xf numFmtId="49" fontId="77" fillId="0" borderId="14" xfId="0" applyNumberFormat="1" applyFont="1" applyBorder="1" applyAlignment="1">
      <alignment horizontal="left" indent="3"/>
    </xf>
    <xf numFmtId="49" fontId="77" fillId="0" borderId="12" xfId="0" applyNumberFormat="1" applyFont="1" applyBorder="1" applyAlignment="1">
      <alignment horizontal="left" indent="1"/>
    </xf>
    <xf numFmtId="49" fontId="77" fillId="0" borderId="14" xfId="0" applyNumberFormat="1" applyFont="1" applyBorder="1" applyAlignment="1">
      <alignment horizontal="left" indent="1"/>
    </xf>
    <xf numFmtId="43" fontId="77" fillId="18" borderId="12" xfId="1" applyFont="1" applyFill="1" applyBorder="1"/>
    <xf numFmtId="0" fontId="77" fillId="18" borderId="1" xfId="0" applyFont="1" applyFill="1" applyBorder="1"/>
    <xf numFmtId="0" fontId="77" fillId="18" borderId="14" xfId="0" applyFont="1" applyFill="1" applyBorder="1"/>
    <xf numFmtId="49" fontId="77" fillId="0" borderId="12" xfId="0" applyNumberFormat="1" applyFont="1" applyBorder="1" applyAlignment="1">
      <alignment horizontal="left" wrapText="1" indent="2"/>
    </xf>
    <xf numFmtId="49" fontId="77" fillId="0" borderId="14" xfId="0" applyNumberFormat="1" applyFont="1" applyBorder="1" applyAlignment="1">
      <alignment horizontal="left" vertical="top" wrapText="1" indent="2"/>
    </xf>
    <xf numFmtId="43" fontId="77" fillId="0" borderId="12" xfId="1" applyFont="1" applyBorder="1" applyAlignment="1">
      <alignment horizontal="left" vertical="center" wrapText="1" indent="2"/>
    </xf>
    <xf numFmtId="0" fontId="77" fillId="0" borderId="14" xfId="0" applyFont="1" applyBorder="1"/>
    <xf numFmtId="49" fontId="77" fillId="0" borderId="12" xfId="0" applyNumberFormat="1" applyFont="1" applyBorder="1" applyAlignment="1">
      <alignment horizontal="left" wrapText="1" indent="3"/>
    </xf>
    <xf numFmtId="49" fontId="77" fillId="0" borderId="14" xfId="0" applyNumberFormat="1" applyFont="1" applyBorder="1" applyAlignment="1">
      <alignment horizontal="left" wrapText="1" indent="3"/>
    </xf>
    <xf numFmtId="49" fontId="77" fillId="0" borderId="14" xfId="0" applyNumberFormat="1" applyFont="1" applyBorder="1" applyAlignment="1">
      <alignment horizontal="left" wrapText="1" indent="2"/>
    </xf>
    <xf numFmtId="0" fontId="77" fillId="0" borderId="12" xfId="0" applyFont="1" applyBorder="1" applyAlignment="1">
      <alignment horizontal="left" wrapText="1" indent="1"/>
    </xf>
    <xf numFmtId="49" fontId="77" fillId="0" borderId="14" xfId="0" applyNumberFormat="1" applyFont="1" applyBorder="1" applyAlignment="1">
      <alignment horizontal="left" wrapText="1" indent="1"/>
    </xf>
    <xf numFmtId="43" fontId="77" fillId="0" borderId="12" xfId="1" applyFont="1" applyBorder="1" applyAlignment="1">
      <alignment horizontal="left" wrapText="1" indent="1"/>
    </xf>
    <xf numFmtId="0" fontId="77" fillId="0" borderId="24" xfId="0" applyFont="1" applyBorder="1" applyAlignment="1">
      <alignment horizontal="left" wrapText="1" indent="1"/>
    </xf>
    <xf numFmtId="49" fontId="77" fillId="0" borderId="26" xfId="0" applyNumberFormat="1" applyFont="1" applyBorder="1" applyAlignment="1">
      <alignment horizontal="left" wrapText="1" indent="1"/>
    </xf>
    <xf numFmtId="43" fontId="77" fillId="0" borderId="24" xfId="1" applyFont="1" applyBorder="1" applyAlignment="1">
      <alignment horizontal="left" wrapText="1" indent="1"/>
    </xf>
    <xf numFmtId="43" fontId="77" fillId="0" borderId="25" xfId="1" applyFont="1" applyBorder="1"/>
    <xf numFmtId="0" fontId="77" fillId="0" borderId="25" xfId="0" applyFont="1" applyBorder="1"/>
    <xf numFmtId="0" fontId="77" fillId="0" borderId="26" xfId="0" applyFont="1" applyBorder="1"/>
    <xf numFmtId="0" fontId="80" fillId="0" borderId="32" xfId="0" applyFont="1" applyBorder="1" applyAlignment="1">
      <alignment horizontal="left" vertical="center" wrapText="1"/>
    </xf>
    <xf numFmtId="43" fontId="77" fillId="0" borderId="1" xfId="1" applyFont="1" applyBorder="1" applyAlignment="1">
      <alignment horizontal="left" vertical="center" wrapText="1"/>
    </xf>
    <xf numFmtId="43" fontId="77" fillId="0" borderId="1" xfId="1" applyFont="1" applyFill="1" applyBorder="1" applyAlignment="1">
      <alignment horizontal="left" vertical="center" wrapText="1"/>
    </xf>
    <xf numFmtId="0" fontId="80" fillId="0" borderId="1" xfId="0" applyFont="1" applyBorder="1" applyAlignment="1">
      <alignment horizontal="left" vertical="center" wrapText="1"/>
    </xf>
    <xf numFmtId="43" fontId="80" fillId="0" borderId="1" xfId="0" applyNumberFormat="1" applyFont="1" applyBorder="1" applyAlignment="1">
      <alignment horizontal="left" vertical="center" wrapText="1"/>
    </xf>
    <xf numFmtId="0" fontId="82" fillId="0" borderId="0" xfId="0" applyFont="1"/>
    <xf numFmtId="0" fontId="82" fillId="0" borderId="0" xfId="0" applyFont="1" applyAlignment="1">
      <alignment horizontal="center" vertical="center"/>
    </xf>
    <xf numFmtId="0" fontId="88" fillId="0" borderId="0" xfId="0" applyFont="1"/>
    <xf numFmtId="43" fontId="90" fillId="0" borderId="0" xfId="0" applyNumberFormat="1" applyFont="1"/>
    <xf numFmtId="167" fontId="90" fillId="0" borderId="0" xfId="1" applyNumberFormat="1" applyFont="1"/>
    <xf numFmtId="0" fontId="90" fillId="0" borderId="0" xfId="0" applyFont="1"/>
    <xf numFmtId="167" fontId="77" fillId="0" borderId="1" xfId="1" applyNumberFormat="1" applyFont="1" applyBorder="1"/>
    <xf numFmtId="4" fontId="88" fillId="0" borderId="0" xfId="0" applyNumberFormat="1" applyFont="1"/>
    <xf numFmtId="43" fontId="88" fillId="0" borderId="0" xfId="0" applyNumberFormat="1" applyFont="1"/>
    <xf numFmtId="43" fontId="82" fillId="0" borderId="1" xfId="1" applyFont="1" applyBorder="1"/>
    <xf numFmtId="43" fontId="82" fillId="0" borderId="1" xfId="1" applyFont="1" applyFill="1" applyBorder="1"/>
    <xf numFmtId="43" fontId="90" fillId="0" borderId="0" xfId="1" applyFont="1"/>
    <xf numFmtId="0" fontId="9" fillId="0" borderId="0" xfId="0" applyFont="1" applyAlignment="1">
      <alignment wrapText="1"/>
    </xf>
    <xf numFmtId="0" fontId="65" fillId="0" borderId="0" xfId="0" applyFont="1"/>
    <xf numFmtId="0" fontId="65" fillId="0" borderId="27" xfId="0" applyFont="1" applyBorder="1"/>
    <xf numFmtId="0" fontId="82" fillId="0" borderId="1" xfId="0" applyFont="1" applyBorder="1" applyAlignment="1">
      <alignment horizontal="left" indent="2"/>
    </xf>
    <xf numFmtId="0" fontId="77" fillId="0" borderId="89" xfId="0" applyFont="1" applyBorder="1" applyAlignment="1">
      <alignment vertical="center" wrapText="1" readingOrder="1"/>
    </xf>
    <xf numFmtId="0" fontId="77" fillId="0" borderId="90" xfId="0" applyFont="1" applyBorder="1" applyAlignment="1">
      <alignment vertical="center" wrapText="1" readingOrder="1"/>
    </xf>
    <xf numFmtId="0" fontId="82" fillId="0" borderId="1" xfId="0" applyFont="1" applyBorder="1" applyAlignment="1">
      <alignment horizontal="left" indent="3"/>
    </xf>
    <xf numFmtId="0" fontId="77" fillId="0" borderId="90" xfId="0" applyFont="1" applyBorder="1" applyAlignment="1">
      <alignment horizontal="left" vertical="center" wrapText="1" indent="1" readingOrder="1"/>
    </xf>
    <xf numFmtId="0" fontId="82" fillId="0" borderId="2" xfId="0" applyFont="1" applyBorder="1" applyAlignment="1">
      <alignment horizontal="left" indent="2"/>
    </xf>
    <xf numFmtId="0" fontId="77" fillId="0" borderId="91" xfId="0" applyFont="1" applyBorder="1" applyAlignment="1">
      <alignment vertical="center" wrapText="1" readingOrder="1"/>
    </xf>
    <xf numFmtId="0" fontId="80" fillId="0" borderId="1" xfId="0" applyFont="1" applyBorder="1" applyAlignment="1">
      <alignment vertical="center" wrapText="1" readingOrder="1"/>
    </xf>
    <xf numFmtId="9" fontId="29" fillId="0" borderId="0" xfId="2" applyFont="1" applyFill="1"/>
    <xf numFmtId="10" fontId="29" fillId="0" borderId="0" xfId="2" applyNumberFormat="1" applyFont="1" applyFill="1"/>
    <xf numFmtId="43" fontId="29" fillId="0" borderId="0" xfId="1" applyFont="1" applyFill="1"/>
    <xf numFmtId="0" fontId="91" fillId="0" borderId="0" xfId="0" applyFont="1"/>
    <xf numFmtId="49" fontId="91" fillId="0" borderId="1" xfId="0" applyNumberFormat="1" applyFont="1" applyBorder="1" applyAlignment="1">
      <alignment horizontal="right" vertical="center"/>
    </xf>
    <xf numFmtId="0" fontId="91" fillId="0" borderId="1" xfId="0" applyFont="1" applyBorder="1" applyAlignment="1">
      <alignment horizontal="left" vertical="center" wrapText="1"/>
    </xf>
    <xf numFmtId="49" fontId="91" fillId="0" borderId="95" xfId="0" applyNumberFormat="1" applyFont="1" applyBorder="1" applyAlignment="1">
      <alignment horizontal="right" vertical="center"/>
    </xf>
    <xf numFmtId="0" fontId="91" fillId="0" borderId="0" xfId="0" applyFont="1" applyAlignment="1">
      <alignment horizontal="left"/>
    </xf>
    <xf numFmtId="49" fontId="91" fillId="0" borderId="27" xfId="0" applyNumberFormat="1" applyFont="1" applyBorder="1" applyAlignment="1">
      <alignment horizontal="right" vertical="center"/>
    </xf>
    <xf numFmtId="0" fontId="91" fillId="0" borderId="28" xfId="0" applyFont="1" applyBorder="1" applyAlignment="1">
      <alignment horizontal="left" vertical="center" wrapText="1"/>
    </xf>
    <xf numFmtId="49" fontId="92" fillId="0" borderId="1" xfId="0" applyNumberFormat="1" applyFont="1" applyBorder="1" applyAlignment="1">
      <alignment horizontal="right" vertical="center"/>
    </xf>
    <xf numFmtId="0" fontId="91" fillId="0" borderId="0" xfId="0" applyFont="1" applyAlignment="1">
      <alignment wrapText="1"/>
    </xf>
    <xf numFmtId="49" fontId="91" fillId="0" borderId="99" xfId="0" applyNumberFormat="1" applyFont="1" applyBorder="1" applyAlignment="1">
      <alignment horizontal="right" vertical="center"/>
    </xf>
    <xf numFmtId="49" fontId="91" fillId="0" borderId="102" xfId="0" applyNumberFormat="1" applyFont="1" applyBorder="1" applyAlignment="1">
      <alignment horizontal="right" vertical="center"/>
    </xf>
    <xf numFmtId="0" fontId="91" fillId="0" borderId="111" xfId="0" applyFont="1" applyBorder="1" applyAlignment="1">
      <alignment horizontal="right" vertical="center"/>
    </xf>
    <xf numFmtId="0" fontId="91" fillId="0" borderId="111" xfId="0" applyFont="1" applyBorder="1" applyAlignment="1">
      <alignment horizontal="left" vertical="center"/>
    </xf>
    <xf numFmtId="0" fontId="91" fillId="0" borderId="95" xfId="0" applyFont="1" applyBorder="1" applyAlignment="1">
      <alignment horizontal="right" vertical="center"/>
    </xf>
    <xf numFmtId="0" fontId="91" fillId="0" borderId="95" xfId="0" applyFont="1" applyBorder="1" applyAlignment="1">
      <alignment vertical="center" wrapText="1"/>
    </xf>
    <xf numFmtId="0" fontId="91" fillId="0" borderId="95" xfId="0" applyFont="1" applyBorder="1" applyAlignment="1">
      <alignment horizontal="left" vertical="center" wrapText="1"/>
    </xf>
    <xf numFmtId="0" fontId="91" fillId="2" borderId="1" xfId="13" applyFont="1" applyFill="1" applyBorder="1" applyAlignment="1" applyProtection="1">
      <alignment horizontal="right" vertical="center"/>
      <protection locked="0"/>
    </xf>
    <xf numFmtId="0" fontId="91" fillId="0" borderId="15" xfId="11" applyFont="1" applyBorder="1" applyAlignment="1" applyProtection="1">
      <alignment horizontal="left" vertical="top" wrapText="1"/>
      <protection locked="0"/>
    </xf>
    <xf numFmtId="0" fontId="91" fillId="0" borderId="28" xfId="11" applyFont="1" applyBorder="1" applyAlignment="1" applyProtection="1">
      <alignment horizontal="left" vertical="top" wrapText="1"/>
      <protection locked="0"/>
    </xf>
    <xf numFmtId="0" fontId="91" fillId="0" borderId="1" xfId="0" applyFont="1" applyBorder="1" applyAlignment="1">
      <alignment horizontal="right" vertical="center"/>
    </xf>
    <xf numFmtId="0" fontId="91" fillId="0" borderId="1" xfId="0" applyFont="1" applyBorder="1" applyAlignment="1">
      <alignment vertical="center" wrapText="1"/>
    </xf>
    <xf numFmtId="0" fontId="91" fillId="0" borderId="1" xfId="24" applyFont="1" applyBorder="1" applyAlignment="1">
      <alignment horizontal="left" vertical="center" wrapText="1"/>
    </xf>
    <xf numFmtId="0" fontId="91" fillId="0" borderId="1" xfId="0" applyFont="1" applyBorder="1" applyAlignment="1">
      <alignment vertical="center"/>
    </xf>
    <xf numFmtId="2" fontId="91" fillId="2" borderId="1" xfId="13" applyNumberFormat="1" applyFont="1" applyFill="1" applyBorder="1" applyAlignment="1" applyProtection="1">
      <alignment horizontal="right" vertical="center"/>
      <protection locked="0"/>
    </xf>
    <xf numFmtId="0" fontId="95" fillId="0" borderId="0" xfId="0" applyFont="1"/>
    <xf numFmtId="0" fontId="92" fillId="0" borderId="1" xfId="24" applyFont="1" applyBorder="1" applyAlignment="1">
      <alignment horizontal="left" vertical="center" wrapText="1"/>
    </xf>
    <xf numFmtId="0" fontId="92" fillId="0" borderId="2" xfId="0" applyFont="1" applyBorder="1" applyAlignment="1">
      <alignment horizontal="left" vertical="top" wrapText="1"/>
    </xf>
    <xf numFmtId="0" fontId="89" fillId="0" borderId="1" xfId="0" applyFont="1" applyBorder="1" applyAlignment="1">
      <alignment wrapText="1"/>
    </xf>
    <xf numFmtId="0" fontId="91" fillId="0" borderId="1" xfId="0" applyFont="1" applyBorder="1" applyAlignment="1">
      <alignment horizontal="left" vertical="top" wrapText="1"/>
    </xf>
    <xf numFmtId="0" fontId="91" fillId="0" borderId="1" xfId="0" applyFont="1" applyBorder="1" applyAlignment="1">
      <alignment wrapText="1"/>
    </xf>
    <xf numFmtId="0" fontId="91" fillId="0" borderId="1" xfId="0" applyFont="1" applyBorder="1"/>
    <xf numFmtId="0" fontId="91" fillId="0" borderId="1" xfId="0" applyFont="1" applyBorder="1" applyAlignment="1">
      <alignment horizontal="left" wrapText="1" indent="2"/>
    </xf>
    <xf numFmtId="0" fontId="91" fillId="0" borderId="1" xfId="0" applyFont="1" applyBorder="1" applyAlignment="1">
      <alignment horizontal="left" wrapText="1"/>
    </xf>
    <xf numFmtId="0" fontId="91" fillId="0" borderId="1" xfId="24" applyFont="1" applyBorder="1" applyAlignment="1">
      <alignment horizontal="left" vertical="center" wrapText="1" indent="2"/>
    </xf>
    <xf numFmtId="0" fontId="91" fillId="0" borderId="1" xfId="0" applyFont="1" applyBorder="1" applyAlignment="1">
      <alignment horizontal="left" vertical="top" wrapText="1" indent="2"/>
    </xf>
    <xf numFmtId="0" fontId="89" fillId="0" borderId="27" xfId="0" applyFont="1" applyBorder="1" applyAlignment="1">
      <alignment wrapText="1"/>
    </xf>
    <xf numFmtId="0" fontId="91" fillId="0" borderId="1" xfId="0" applyFont="1" applyBorder="1" applyAlignment="1">
      <alignment horizontal="left" indent="1"/>
    </xf>
    <xf numFmtId="0" fontId="91" fillId="0" borderId="1" xfId="0" applyFont="1" applyBorder="1" applyAlignment="1">
      <alignment horizontal="left" indent="2"/>
    </xf>
    <xf numFmtId="49" fontId="91" fillId="0" borderId="1" xfId="0" applyNumberFormat="1" applyFont="1" applyBorder="1" applyAlignment="1">
      <alignment horizontal="left" indent="3"/>
    </xf>
    <xf numFmtId="49" fontId="91" fillId="0" borderId="1" xfId="0" applyNumberFormat="1" applyFont="1" applyBorder="1" applyAlignment="1">
      <alignment vertical="center"/>
    </xf>
    <xf numFmtId="0" fontId="92" fillId="0" borderId="1" xfId="0" applyFont="1" applyBorder="1" applyAlignment="1">
      <alignment vertical="center" wrapText="1"/>
    </xf>
    <xf numFmtId="49" fontId="91" fillId="0" borderId="1" xfId="0" applyNumberFormat="1" applyFont="1" applyBorder="1" applyAlignment="1">
      <alignment horizontal="left" vertical="top" wrapText="1" indent="2"/>
    </xf>
    <xf numFmtId="49" fontId="91" fillId="0" borderId="1" xfId="0" applyNumberFormat="1" applyFont="1" applyBorder="1" applyAlignment="1">
      <alignment horizontal="left" vertical="top" wrapText="1"/>
    </xf>
    <xf numFmtId="49" fontId="91" fillId="0" borderId="1" xfId="0" applyNumberFormat="1" applyFont="1" applyBorder="1" applyAlignment="1">
      <alignment horizontal="left" wrapText="1" indent="3"/>
    </xf>
    <xf numFmtId="49" fontId="91" fillId="0" borderId="1" xfId="0" applyNumberFormat="1" applyFont="1" applyBorder="1" applyAlignment="1">
      <alignment horizontal="left" wrapText="1" indent="2"/>
    </xf>
    <xf numFmtId="49" fontId="91" fillId="0" borderId="1" xfId="0" applyNumberFormat="1" applyFont="1" applyBorder="1" applyAlignment="1">
      <alignment horizontal="left" vertical="center" wrapText="1" indent="3"/>
    </xf>
    <xf numFmtId="0" fontId="78" fillId="0" borderId="0" xfId="0" applyFont="1" applyAlignment="1">
      <alignment horizontal="left" indent="1"/>
    </xf>
    <xf numFmtId="49" fontId="91" fillId="0" borderId="1" xfId="0" applyNumberFormat="1" applyFont="1" applyBorder="1" applyAlignment="1">
      <alignment vertical="top" wrapText="1"/>
    </xf>
    <xf numFmtId="0" fontId="78" fillId="0" borderId="0" xfId="0" applyFont="1" applyAlignment="1">
      <alignment horizontal="left" indent="2"/>
    </xf>
    <xf numFmtId="49" fontId="78" fillId="0" borderId="0" xfId="0" applyNumberFormat="1" applyFont="1" applyAlignment="1">
      <alignment horizontal="left" indent="3"/>
    </xf>
    <xf numFmtId="49" fontId="78" fillId="0" borderId="0" xfId="0" applyNumberFormat="1" applyFont="1" applyAlignment="1">
      <alignment horizontal="left" indent="1"/>
    </xf>
    <xf numFmtId="49" fontId="78" fillId="0" borderId="0" xfId="0" applyNumberFormat="1" applyFont="1" applyAlignment="1">
      <alignment horizontal="left" wrapText="1" indent="2"/>
    </xf>
    <xf numFmtId="49" fontId="91" fillId="0" borderId="0" xfId="0" applyNumberFormat="1" applyFont="1" applyAlignment="1">
      <alignment horizontal="right" vertical="center"/>
    </xf>
    <xf numFmtId="49" fontId="78" fillId="0" borderId="0" xfId="0" applyNumberFormat="1" applyFont="1" applyAlignment="1">
      <alignment horizontal="left" wrapText="1" indent="3"/>
    </xf>
    <xf numFmtId="0" fontId="78" fillId="0" borderId="0" xfId="0" applyFont="1" applyAlignment="1">
      <alignment horizontal="left" wrapText="1" indent="1"/>
    </xf>
    <xf numFmtId="0" fontId="91" fillId="0" borderId="1" xfId="0" applyFont="1" applyBorder="1" applyAlignment="1">
      <alignment horizontal="left" vertical="center" wrapText="1" indent="1"/>
    </xf>
    <xf numFmtId="0" fontId="91" fillId="0" borderId="1" xfId="0" applyFont="1" applyBorder="1" applyAlignment="1">
      <alignment horizontal="left" vertical="center" indent="1"/>
    </xf>
    <xf numFmtId="0" fontId="91" fillId="0" borderId="2" xfId="0" applyFont="1" applyBorder="1" applyAlignment="1">
      <alignment horizontal="left" indent="2"/>
    </xf>
    <xf numFmtId="0" fontId="91" fillId="0" borderId="91" xfId="0" applyFont="1" applyBorder="1" applyAlignment="1">
      <alignment horizontal="left" vertical="center" wrapText="1" readingOrder="1"/>
    </xf>
    <xf numFmtId="0" fontId="91" fillId="0" borderId="2" xfId="0" applyFont="1" applyBorder="1" applyAlignment="1">
      <alignment vertical="center" wrapText="1"/>
    </xf>
    <xf numFmtId="0" fontId="91" fillId="0" borderId="1" xfId="0" applyFont="1" applyBorder="1" applyAlignment="1">
      <alignment horizontal="left" vertical="center" wrapText="1" readingOrder="1"/>
    </xf>
    <xf numFmtId="0" fontId="88" fillId="0" borderId="0" xfId="0" applyFont="1" applyAlignment="1">
      <alignment horizontal="left" indent="2"/>
    </xf>
    <xf numFmtId="0" fontId="77" fillId="0" borderId="0" xfId="0" applyFont="1" applyAlignment="1">
      <alignment horizontal="left" vertical="center" indent="1"/>
    </xf>
    <xf numFmtId="0" fontId="77" fillId="0" borderId="0" xfId="0" applyFont="1" applyAlignment="1">
      <alignment vertical="center" wrapText="1"/>
    </xf>
    <xf numFmtId="0" fontId="97" fillId="0" borderId="0" xfId="0" applyFont="1" applyAlignment="1">
      <alignment horizontal="left" vertical="center" wrapText="1" readingOrder="1"/>
    </xf>
    <xf numFmtId="0" fontId="88" fillId="0" borderId="0" xfId="0" applyFont="1" applyAlignment="1">
      <alignment horizontal="left" vertical="center" wrapText="1"/>
    </xf>
    <xf numFmtId="0" fontId="77" fillId="0" borderId="0" xfId="0" applyFont="1" applyAlignment="1">
      <alignment horizontal="left" vertical="center" wrapText="1"/>
    </xf>
    <xf numFmtId="0" fontId="91" fillId="0" borderId="0" xfId="0" applyFont="1" applyAlignment="1">
      <alignment vertical="center" wrapText="1"/>
    </xf>
    <xf numFmtId="0" fontId="91" fillId="0" borderId="0" xfId="0" applyFont="1" applyAlignment="1">
      <alignment horizontal="left" vertical="center" wrapText="1"/>
    </xf>
    <xf numFmtId="167" fontId="2" fillId="0" borderId="0" xfId="1" applyNumberFormat="1" applyFont="1" applyFill="1"/>
    <xf numFmtId="0" fontId="3" fillId="0" borderId="0" xfId="0" applyFont="1"/>
    <xf numFmtId="43" fontId="20" fillId="0" borderId="0" xfId="1" applyFont="1" applyFill="1"/>
    <xf numFmtId="167" fontId="20" fillId="0" borderId="0" xfId="1" applyNumberFormat="1" applyFont="1" applyFill="1"/>
    <xf numFmtId="3" fontId="4" fillId="0" borderId="0" xfId="0" applyNumberFormat="1" applyFont="1"/>
    <xf numFmtId="38" fontId="4" fillId="0" borderId="0" xfId="0" applyNumberFormat="1" applyFont="1"/>
    <xf numFmtId="166" fontId="72" fillId="14" borderId="1" xfId="2" applyNumberFormat="1" applyFont="1" applyFill="1" applyBorder="1" applyAlignment="1" applyProtection="1">
      <alignment horizontal="right" vertical="center"/>
    </xf>
    <xf numFmtId="10" fontId="20" fillId="0" borderId="0" xfId="1" applyNumberFormat="1" applyFont="1" applyFill="1"/>
    <xf numFmtId="167" fontId="77" fillId="0" borderId="1" xfId="1" applyNumberFormat="1" applyFont="1" applyFill="1" applyBorder="1"/>
    <xf numFmtId="43" fontId="81" fillId="0" borderId="1" xfId="1" applyFont="1" applyFill="1" applyBorder="1"/>
    <xf numFmtId="167" fontId="86" fillId="0" borderId="0" xfId="1" applyNumberFormat="1" applyFont="1" applyFill="1"/>
    <xf numFmtId="43" fontId="80" fillId="0" borderId="1" xfId="1" applyFont="1" applyFill="1" applyBorder="1"/>
    <xf numFmtId="43" fontId="80" fillId="0" borderId="1" xfId="0" applyNumberFormat="1" applyFont="1" applyBorder="1"/>
    <xf numFmtId="43" fontId="80" fillId="0" borderId="1" xfId="1" applyFont="1" applyFill="1" applyBorder="1" applyAlignment="1">
      <alignment horizontal="left" indent="1"/>
    </xf>
    <xf numFmtId="167" fontId="80" fillId="0" borderId="1" xfId="0" applyNumberFormat="1" applyFont="1" applyBorder="1"/>
    <xf numFmtId="167" fontId="77" fillId="0" borderId="1" xfId="1" applyNumberFormat="1" applyFont="1" applyFill="1" applyBorder="1" applyAlignment="1">
      <alignment horizontal="left" indent="1"/>
    </xf>
    <xf numFmtId="43" fontId="80" fillId="0" borderId="36" xfId="0" applyNumberFormat="1" applyFont="1" applyBorder="1"/>
    <xf numFmtId="43" fontId="77" fillId="0" borderId="12" xfId="1" applyFont="1" applyFill="1" applyBorder="1" applyAlignment="1">
      <alignment horizontal="center"/>
    </xf>
    <xf numFmtId="43" fontId="77" fillId="0" borderId="12" xfId="1" applyFont="1" applyFill="1" applyBorder="1" applyAlignment="1">
      <alignment horizontal="right" indent="2"/>
    </xf>
    <xf numFmtId="43" fontId="77" fillId="0" borderId="12" xfId="1" applyFont="1" applyFill="1" applyBorder="1" applyAlignment="1">
      <alignment horizontal="left" indent="3"/>
    </xf>
    <xf numFmtId="43" fontId="77" fillId="0" borderId="12" xfId="1" applyFont="1" applyFill="1" applyBorder="1" applyAlignment="1">
      <alignment horizontal="left" indent="1"/>
    </xf>
    <xf numFmtId="43" fontId="65" fillId="0" borderId="0" xfId="0" applyNumberFormat="1" applyFont="1"/>
    <xf numFmtId="43" fontId="29" fillId="0" borderId="0" xfId="0" applyNumberFormat="1" applyFont="1"/>
    <xf numFmtId="0" fontId="29" fillId="0" borderId="0" xfId="0" applyFont="1"/>
    <xf numFmtId="166" fontId="4" fillId="0" borderId="17" xfId="2" applyNumberFormat="1" applyFont="1" applyBorder="1" applyAlignment="1">
      <alignment horizontal="center"/>
    </xf>
    <xf numFmtId="43" fontId="0" fillId="6" borderId="1" xfId="1" applyFont="1" applyFill="1" applyBorder="1"/>
    <xf numFmtId="43" fontId="0" fillId="0" borderId="0" xfId="1" applyFont="1"/>
    <xf numFmtId="43" fontId="9" fillId="0" borderId="1" xfId="1" applyFont="1" applyBorder="1" applyAlignment="1">
      <alignment horizontal="center" vertical="center" wrapText="1"/>
    </xf>
    <xf numFmtId="43" fontId="0" fillId="0" borderId="15" xfId="1" applyFont="1" applyBorder="1" applyAlignment="1">
      <alignment horizontal="center"/>
    </xf>
    <xf numFmtId="43" fontId="0" fillId="0" borderId="16" xfId="1" applyFont="1" applyBorder="1" applyAlignment="1">
      <alignment horizontal="center"/>
    </xf>
    <xf numFmtId="43" fontId="0" fillId="0" borderId="28" xfId="1" applyFont="1" applyBorder="1" applyAlignment="1">
      <alignment horizontal="center"/>
    </xf>
    <xf numFmtId="43" fontId="4" fillId="0" borderId="1" xfId="1" applyFont="1" applyFill="1" applyBorder="1"/>
    <xf numFmtId="43" fontId="0" fillId="0" borderId="1" xfId="1" applyFont="1" applyBorder="1" applyAlignment="1">
      <alignment vertical="center"/>
    </xf>
    <xf numFmtId="43" fontId="0" fillId="6" borderId="1" xfId="1" applyFont="1" applyFill="1" applyBorder="1" applyAlignment="1">
      <alignment vertical="center"/>
    </xf>
    <xf numFmtId="43" fontId="0" fillId="0" borderId="0" xfId="1" applyFont="1" applyFill="1"/>
    <xf numFmtId="43" fontId="2" fillId="0" borderId="0" xfId="1" applyFont="1" applyFill="1"/>
    <xf numFmtId="166" fontId="4" fillId="0" borderId="14" xfId="2" applyNumberFormat="1" applyFont="1" applyBorder="1" applyAlignment="1">
      <alignment horizontal="center"/>
    </xf>
    <xf numFmtId="166" fontId="4" fillId="0" borderId="23" xfId="2" applyNumberFormat="1" applyFont="1" applyBorder="1" applyAlignment="1">
      <alignment horizontal="center"/>
    </xf>
    <xf numFmtId="166" fontId="4" fillId="0" borderId="23" xfId="2" applyNumberFormat="1" applyFont="1" applyFill="1" applyBorder="1" applyAlignment="1">
      <alignment horizontal="center"/>
    </xf>
    <xf numFmtId="167" fontId="41" fillId="0" borderId="0" xfId="1" applyNumberFormat="1" applyFont="1" applyFill="1"/>
    <xf numFmtId="43" fontId="65" fillId="2" borderId="1" xfId="1" applyFont="1" applyFill="1" applyBorder="1" applyProtection="1">
      <protection locked="0"/>
    </xf>
    <xf numFmtId="43" fontId="65" fillId="2" borderId="1" xfId="1" quotePrefix="1" applyFont="1" applyFill="1" applyBorder="1" applyProtection="1">
      <protection locked="0"/>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0" fillId="0" borderId="1" xfId="0" applyBorder="1" applyAlignment="1">
      <alignment horizontal="center" vertical="center"/>
    </xf>
    <xf numFmtId="0" fontId="21" fillId="0" borderId="2" xfId="0" applyFont="1" applyBorder="1" applyAlignment="1">
      <alignment horizontal="center" vertical="center"/>
    </xf>
    <xf numFmtId="0" fontId="21" fillId="0" borderId="27" xfId="0" applyFont="1" applyBorder="1" applyAlignment="1">
      <alignment horizontal="center" vertical="center"/>
    </xf>
    <xf numFmtId="43" fontId="14" fillId="0" borderId="10" xfId="1" applyFont="1" applyBorder="1" applyAlignment="1">
      <alignment horizontal="center" vertical="center"/>
    </xf>
    <xf numFmtId="43" fontId="14" fillId="0" borderId="11" xfId="1" applyFont="1" applyBorder="1" applyAlignment="1">
      <alignment horizontal="center" vertical="center"/>
    </xf>
    <xf numFmtId="43" fontId="0" fillId="0" borderId="15" xfId="1" applyFont="1" applyBorder="1" applyAlignment="1">
      <alignment horizontal="center"/>
    </xf>
    <xf numFmtId="43" fontId="0" fillId="0" borderId="16" xfId="1" applyFont="1" applyBorder="1" applyAlignment="1">
      <alignment horizontal="center"/>
    </xf>
    <xf numFmtId="43" fontId="0" fillId="0" borderId="28" xfId="1" applyFont="1"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vertical="center"/>
    </xf>
    <xf numFmtId="0" fontId="21" fillId="0" borderId="2" xfId="0" applyFont="1" applyBorder="1" applyAlignment="1">
      <alignment horizontal="center" vertical="center" wrapText="1"/>
    </xf>
    <xf numFmtId="0" fontId="21" fillId="0" borderId="27"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0" borderId="1" xfId="0" applyBorder="1" applyAlignment="1">
      <alignment horizontal="center" vertical="center" wrapText="1"/>
    </xf>
    <xf numFmtId="0" fontId="14" fillId="0" borderId="10" xfId="0" applyFont="1" applyBorder="1" applyAlignment="1">
      <alignment horizontal="center"/>
    </xf>
    <xf numFmtId="0" fontId="14" fillId="0" borderId="11" xfId="0" applyFont="1" applyBorder="1" applyAlignment="1">
      <alignment horizontal="center"/>
    </xf>
    <xf numFmtId="0" fontId="39" fillId="0" borderId="1" xfId="0" applyFont="1" applyBorder="1" applyAlignment="1">
      <alignment wrapText="1"/>
    </xf>
    <xf numFmtId="0" fontId="4" fillId="0" borderId="14" xfId="0" applyFont="1" applyBorder="1"/>
    <xf numFmtId="0" fontId="14" fillId="0" borderId="15" xfId="0" applyFont="1" applyBorder="1" applyAlignment="1">
      <alignment horizontal="center" vertical="center" wrapText="1"/>
    </xf>
    <xf numFmtId="0" fontId="14" fillId="0" borderId="1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xf>
    <xf numFmtId="0" fontId="4" fillId="0" borderId="17" xfId="0" applyFont="1" applyBorder="1" applyAlignment="1">
      <alignment horizontal="center"/>
    </xf>
    <xf numFmtId="0" fontId="34" fillId="6" borderId="45"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34" fillId="6" borderId="47" xfId="0" applyFont="1" applyFill="1" applyBorder="1" applyAlignment="1">
      <alignment horizontal="center" vertical="center" wrapText="1"/>
    </xf>
    <xf numFmtId="0" fontId="34" fillId="6" borderId="28" xfId="0" applyFont="1" applyFill="1" applyBorder="1" applyAlignment="1">
      <alignment horizontal="center" vertical="center" wrapText="1"/>
    </xf>
    <xf numFmtId="0" fontId="4" fillId="12" borderId="27"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27" xfId="5" applyFont="1" applyFill="1" applyBorder="1" applyAlignment="1">
      <alignment horizontal="center" vertical="top"/>
    </xf>
    <xf numFmtId="0" fontId="34" fillId="11" borderId="40" xfId="0" applyFont="1" applyFill="1" applyBorder="1" applyAlignment="1">
      <alignment horizontal="center" vertical="center" wrapText="1"/>
    </xf>
    <xf numFmtId="0" fontId="34" fillId="11" borderId="14" xfId="0" applyFont="1" applyFill="1" applyBorder="1" applyAlignment="1">
      <alignment horizontal="center" vertical="center" wrapText="1"/>
    </xf>
    <xf numFmtId="9" fontId="4" fillId="0" borderId="15" xfId="0" applyNumberFormat="1" applyFont="1" applyBorder="1" applyAlignment="1">
      <alignment horizontal="center" vertical="center"/>
    </xf>
    <xf numFmtId="9" fontId="4" fillId="0" borderId="28" xfId="0" applyNumberFormat="1" applyFont="1" applyBorder="1" applyAlignment="1">
      <alignment horizontal="center" vertical="center"/>
    </xf>
    <xf numFmtId="0" fontId="61" fillId="2" borderId="23" xfId="11" applyFont="1" applyFill="1" applyBorder="1" applyAlignment="1" applyProtection="1">
      <alignment horizontal="center" vertical="center" wrapText="1"/>
      <protection locked="0"/>
    </xf>
    <xf numFmtId="0" fontId="61" fillId="2" borderId="40" xfId="1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7" xfId="0" applyFont="1" applyBorder="1" applyAlignment="1">
      <alignment horizontal="center" vertical="center" wrapText="1"/>
    </xf>
    <xf numFmtId="167" fontId="15" fillId="2" borderId="9" xfId="15" applyNumberFormat="1" applyFont="1" applyFill="1" applyBorder="1" applyAlignment="1" applyProtection="1">
      <alignment horizontal="center"/>
      <protection locked="0"/>
    </xf>
    <xf numFmtId="167" fontId="15" fillId="2" borderId="10" xfId="15" applyNumberFormat="1" applyFont="1" applyFill="1" applyBorder="1" applyAlignment="1" applyProtection="1">
      <alignment horizontal="center"/>
      <protection locked="0"/>
    </xf>
    <xf numFmtId="167" fontId="15" fillId="2" borderId="11" xfId="15" applyNumberFormat="1" applyFont="1" applyFill="1" applyBorder="1" applyAlignment="1" applyProtection="1">
      <alignment horizontal="center"/>
      <protection locked="0"/>
    </xf>
    <xf numFmtId="167" fontId="15" fillId="0" borderId="65" xfId="15" applyNumberFormat="1" applyFont="1" applyFill="1" applyBorder="1" applyAlignment="1" applyProtection="1">
      <alignment horizontal="center" vertical="center" wrapText="1"/>
      <protection locked="0"/>
    </xf>
    <xf numFmtId="167" fontId="15" fillId="0" borderId="67" xfId="15" applyNumberFormat="1" applyFont="1" applyFill="1" applyBorder="1" applyAlignment="1" applyProtection="1">
      <alignment horizontal="center" vertical="center" wrapText="1"/>
      <protection locked="0"/>
    </xf>
    <xf numFmtId="0" fontId="34" fillId="0" borderId="66" xfId="0" applyFont="1" applyBorder="1" applyAlignment="1">
      <alignment horizontal="center" vertical="center" wrapText="1"/>
    </xf>
    <xf numFmtId="0" fontId="34" fillId="0" borderId="68" xfId="0" applyFont="1" applyBorder="1" applyAlignment="1">
      <alignment horizontal="center" vertical="center" wrapText="1"/>
    </xf>
    <xf numFmtId="0" fontId="4" fillId="0" borderId="15" xfId="0" applyFont="1" applyBorder="1" applyAlignment="1">
      <alignment horizontal="center" wrapText="1"/>
    </xf>
    <xf numFmtId="0" fontId="4" fillId="0" borderId="28" xfId="0" applyFont="1" applyBorder="1" applyAlignment="1">
      <alignment horizontal="center" wrapText="1"/>
    </xf>
    <xf numFmtId="0" fontId="4" fillId="0" borderId="23" xfId="0" applyFont="1" applyBorder="1" applyAlignment="1">
      <alignment horizontal="center" vertical="center" wrapText="1"/>
    </xf>
    <xf numFmtId="0" fontId="4" fillId="0" borderId="40" xfId="0" applyFont="1" applyBorder="1" applyAlignment="1">
      <alignment horizontal="center" vertical="center" wrapText="1"/>
    </xf>
    <xf numFmtId="0" fontId="63" fillId="0" borderId="62" xfId="0" applyFont="1" applyBorder="1" applyAlignment="1">
      <alignment horizontal="left" vertical="center"/>
    </xf>
    <xf numFmtId="0" fontId="63" fillId="0" borderId="63" xfId="0" applyFont="1" applyBorder="1" applyAlignment="1">
      <alignment horizontal="left" vertical="center"/>
    </xf>
    <xf numFmtId="0" fontId="4" fillId="0" borderId="63" xfId="0" applyFont="1" applyBorder="1" applyAlignment="1">
      <alignment horizontal="center" vertical="center" wrapText="1"/>
    </xf>
    <xf numFmtId="43" fontId="4" fillId="0" borderId="63" xfId="1" applyFont="1" applyBorder="1" applyAlignment="1">
      <alignment horizontal="center" vertical="center" wrapText="1"/>
    </xf>
    <xf numFmtId="43" fontId="4" fillId="0" borderId="70" xfId="1" applyFont="1" applyBorder="1" applyAlignment="1">
      <alignment horizontal="center" vertical="center" wrapText="1"/>
    </xf>
    <xf numFmtId="43" fontId="4" fillId="0" borderId="49" xfId="1" applyFont="1" applyBorder="1" applyAlignment="1">
      <alignment horizontal="center" vertical="center" wrapText="1"/>
    </xf>
    <xf numFmtId="0" fontId="4" fillId="0" borderId="10" xfId="0" applyFont="1" applyBorder="1" applyAlignment="1">
      <alignment horizontal="center"/>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80" fillId="0" borderId="78" xfId="0" applyFont="1" applyBorder="1" applyAlignment="1">
      <alignment horizontal="left" vertical="center" wrapText="1"/>
    </xf>
    <xf numFmtId="0" fontId="80" fillId="0" borderId="79" xfId="0" applyFont="1" applyBorder="1" applyAlignment="1">
      <alignment horizontal="left" vertical="center" wrapText="1"/>
    </xf>
    <xf numFmtId="0" fontId="80" fillId="0" borderId="81" xfId="0" applyFont="1" applyBorder="1" applyAlignment="1">
      <alignment horizontal="left" vertical="center" wrapText="1"/>
    </xf>
    <xf numFmtId="0" fontId="80" fillId="0" borderId="82" xfId="0" applyFont="1" applyBorder="1" applyAlignment="1">
      <alignment horizontal="left" vertical="center" wrapText="1"/>
    </xf>
    <xf numFmtId="0" fontId="80" fillId="0" borderId="83" xfId="0" applyFont="1" applyBorder="1" applyAlignment="1">
      <alignment horizontal="left" vertical="center" wrapText="1"/>
    </xf>
    <xf numFmtId="0" fontId="80" fillId="0" borderId="84" xfId="0" applyFont="1" applyBorder="1" applyAlignment="1">
      <alignment horizontal="left" vertical="center" wrapText="1"/>
    </xf>
    <xf numFmtId="0" fontId="81" fillId="0" borderId="3" xfId="0" applyFont="1" applyBorder="1" applyAlignment="1">
      <alignment horizontal="center" vertical="center" wrapText="1"/>
    </xf>
    <xf numFmtId="0" fontId="81" fillId="0" borderId="4" xfId="0" applyFont="1" applyBorder="1" applyAlignment="1">
      <alignment horizontal="center" vertical="center" wrapText="1"/>
    </xf>
    <xf numFmtId="0" fontId="81" fillId="0" borderId="80" xfId="0" applyFont="1" applyBorder="1" applyAlignment="1">
      <alignment horizontal="center" vertical="center" wrapText="1"/>
    </xf>
    <xf numFmtId="0" fontId="81" fillId="0" borderId="19" xfId="0" applyFont="1" applyBorder="1" applyAlignment="1">
      <alignment horizontal="center" vertical="center" wrapText="1"/>
    </xf>
    <xf numFmtId="0" fontId="81" fillId="0" borderId="20" xfId="0" applyFont="1" applyBorder="1" applyAlignment="1">
      <alignment horizontal="center" vertical="center" wrapText="1"/>
    </xf>
    <xf numFmtId="0" fontId="81" fillId="0" borderId="33"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2" xfId="0" applyFont="1" applyBorder="1" applyAlignment="1">
      <alignment horizontal="center" vertical="center" wrapText="1"/>
    </xf>
    <xf numFmtId="0" fontId="77" fillId="0" borderId="27" xfId="0" applyFont="1" applyBorder="1" applyAlignment="1">
      <alignment horizontal="center" vertical="center" wrapText="1"/>
    </xf>
    <xf numFmtId="0" fontId="77" fillId="0" borderId="15" xfId="0" applyFont="1" applyBorder="1" applyAlignment="1">
      <alignment horizontal="center" vertical="center" wrapText="1"/>
    </xf>
    <xf numFmtId="0" fontId="77" fillId="0" borderId="28" xfId="0" applyFont="1" applyBorder="1" applyAlignment="1">
      <alignment horizontal="center" vertical="center" wrapText="1"/>
    </xf>
    <xf numFmtId="0" fontId="87" fillId="0" borderId="1" xfId="0" applyFont="1" applyBorder="1" applyAlignment="1">
      <alignment horizontal="center" vertical="center"/>
    </xf>
    <xf numFmtId="0" fontId="79" fillId="0" borderId="3" xfId="0" applyFont="1" applyBorder="1" applyAlignment="1">
      <alignment horizontal="center" vertical="center"/>
    </xf>
    <xf numFmtId="0" fontId="79" fillId="0" borderId="80" xfId="0" applyFont="1" applyBorder="1" applyAlignment="1">
      <alignment horizontal="center" vertical="center"/>
    </xf>
    <xf numFmtId="0" fontId="79" fillId="0" borderId="19" xfId="0" applyFont="1" applyBorder="1" applyAlignment="1">
      <alignment horizontal="center" vertical="center"/>
    </xf>
    <xf numFmtId="0" fontId="79" fillId="0" borderId="33" xfId="0" applyFont="1" applyBorder="1" applyAlignment="1">
      <alignment horizontal="center" vertical="center"/>
    </xf>
    <xf numFmtId="0" fontId="80" fillId="0" borderId="1" xfId="0" applyFont="1" applyBorder="1" applyAlignment="1">
      <alignment horizontal="center" vertical="center" wrapText="1"/>
    </xf>
    <xf numFmtId="0" fontId="80" fillId="0" borderId="3" xfId="0" applyFont="1" applyBorder="1" applyAlignment="1">
      <alignment horizontal="center" vertical="center" wrapText="1"/>
    </xf>
    <xf numFmtId="0" fontId="80" fillId="0" borderId="80" xfId="0" applyFont="1" applyBorder="1" applyAlignment="1">
      <alignment horizontal="center" vertical="center" wrapText="1"/>
    </xf>
    <xf numFmtId="0" fontId="80" fillId="0" borderId="85" xfId="0" applyFont="1" applyBorder="1" applyAlignment="1">
      <alignment horizontal="center" vertical="center" wrapText="1"/>
    </xf>
    <xf numFmtId="0" fontId="80" fillId="0" borderId="32" xfId="0" applyFont="1" applyBorder="1" applyAlignment="1">
      <alignment horizontal="center" vertical="center" wrapText="1"/>
    </xf>
    <xf numFmtId="0" fontId="80" fillId="0" borderId="19" xfId="0" applyFont="1" applyBorder="1" applyAlignment="1">
      <alignment horizontal="center" vertical="center" wrapText="1"/>
    </xf>
    <xf numFmtId="0" fontId="80" fillId="0" borderId="33" xfId="0" applyFont="1" applyBorder="1" applyAlignment="1">
      <alignment horizontal="center" vertical="center" wrapText="1"/>
    </xf>
    <xf numFmtId="0" fontId="77" fillId="0" borderId="16" xfId="0" applyFont="1" applyBorder="1" applyAlignment="1">
      <alignment horizontal="center" vertical="center" wrapText="1"/>
    </xf>
    <xf numFmtId="0" fontId="80" fillId="0" borderId="35" xfId="0" applyFont="1" applyBorder="1" applyAlignment="1">
      <alignment horizontal="center" vertical="center" wrapText="1"/>
    </xf>
    <xf numFmtId="0" fontId="80" fillId="0" borderId="27" xfId="0" applyFont="1" applyBorder="1" applyAlignment="1">
      <alignment horizontal="center" vertical="center" wrapText="1"/>
    </xf>
    <xf numFmtId="0" fontId="77" fillId="0" borderId="35" xfId="0" applyFont="1" applyBorder="1" applyAlignment="1">
      <alignment horizontal="center" vertical="center" wrapText="1"/>
    </xf>
    <xf numFmtId="0" fontId="77" fillId="0" borderId="3" xfId="0" applyFont="1" applyBorder="1" applyAlignment="1">
      <alignment horizontal="center" vertical="center" wrapText="1"/>
    </xf>
    <xf numFmtId="0" fontId="77" fillId="0" borderId="4" xfId="0" applyFont="1" applyBorder="1" applyAlignment="1">
      <alignment horizontal="center" vertical="center" wrapText="1"/>
    </xf>
    <xf numFmtId="0" fontId="77" fillId="0" borderId="80" xfId="0" applyFont="1" applyBorder="1" applyAlignment="1">
      <alignment horizontal="center" vertical="center" wrapText="1"/>
    </xf>
    <xf numFmtId="0" fontId="77" fillId="0" borderId="33" xfId="0" applyFont="1" applyBorder="1" applyAlignment="1">
      <alignment horizontal="center" vertical="center" wrapText="1"/>
    </xf>
    <xf numFmtId="0" fontId="80" fillId="0" borderId="62" xfId="0" applyFont="1" applyBorder="1" applyAlignment="1">
      <alignment horizontal="left" vertical="top" wrapText="1"/>
    </xf>
    <xf numFmtId="0" fontId="80" fillId="0" borderId="70" xfId="0" applyFont="1" applyBorder="1" applyAlignment="1">
      <alignment horizontal="left" vertical="top" wrapText="1"/>
    </xf>
    <xf numFmtId="0" fontId="80" fillId="0" borderId="64" xfId="0" applyFont="1" applyBorder="1" applyAlignment="1">
      <alignment horizontal="left" vertical="top" wrapText="1"/>
    </xf>
    <xf numFmtId="0" fontId="80" fillId="0" borderId="13" xfId="0" applyFont="1" applyBorder="1" applyAlignment="1">
      <alignment horizontal="left" vertical="top" wrapText="1"/>
    </xf>
    <xf numFmtId="0" fontId="80" fillId="0" borderId="77" xfId="0" applyFont="1" applyBorder="1" applyAlignment="1">
      <alignment horizontal="left" vertical="top" wrapText="1"/>
    </xf>
    <xf numFmtId="0" fontId="80" fillId="0" borderId="21" xfId="0" applyFont="1" applyBorder="1" applyAlignment="1">
      <alignment horizontal="left" vertical="top" wrapText="1"/>
    </xf>
    <xf numFmtId="0" fontId="77" fillId="0" borderId="62" xfId="0" applyFont="1" applyBorder="1" applyAlignment="1">
      <alignment horizontal="center" vertical="center" wrapText="1"/>
    </xf>
    <xf numFmtId="0" fontId="77" fillId="0" borderId="63" xfId="0" applyFont="1" applyBorder="1" applyAlignment="1">
      <alignment horizontal="center" vertical="center" wrapText="1"/>
    </xf>
    <xf numFmtId="0" fontId="77" fillId="0" borderId="70" xfId="0" applyFont="1" applyBorder="1" applyAlignment="1">
      <alignment horizontal="center" vertical="center" wrapText="1"/>
    </xf>
    <xf numFmtId="0" fontId="80" fillId="0" borderId="86" xfId="0" applyFont="1" applyBorder="1" applyAlignment="1">
      <alignment horizontal="center" vertical="center" wrapText="1"/>
    </xf>
    <xf numFmtId="0" fontId="80" fillId="0" borderId="36" xfId="0" applyFont="1" applyBorder="1" applyAlignment="1">
      <alignment horizontal="center" vertical="center" wrapText="1"/>
    </xf>
    <xf numFmtId="0" fontId="77" fillId="0" borderId="14" xfId="0" applyFont="1" applyBorder="1" applyAlignment="1">
      <alignment horizontal="center" vertical="center" wrapText="1"/>
    </xf>
    <xf numFmtId="0" fontId="77" fillId="0" borderId="3" xfId="0" applyFont="1" applyBorder="1" applyAlignment="1">
      <alignment horizontal="center" vertical="top" wrapText="1"/>
    </xf>
    <xf numFmtId="0" fontId="77" fillId="0" borderId="4" xfId="0" applyFont="1" applyBorder="1" applyAlignment="1">
      <alignment horizontal="center" vertical="top" wrapText="1"/>
    </xf>
    <xf numFmtId="0" fontId="77" fillId="0" borderId="16" xfId="0" applyFont="1" applyBorder="1" applyAlignment="1">
      <alignment horizontal="center" vertical="top" wrapText="1"/>
    </xf>
    <xf numFmtId="0" fontId="77" fillId="0" borderId="28" xfId="0" applyFont="1" applyBorder="1" applyAlignment="1">
      <alignment horizontal="center" vertical="top" wrapText="1"/>
    </xf>
    <xf numFmtId="0" fontId="89" fillId="0" borderId="87" xfId="0" applyFont="1" applyBorder="1" applyAlignment="1">
      <alignment horizontal="left" vertical="top" wrapText="1"/>
    </xf>
    <xf numFmtId="0" fontId="89" fillId="0" borderId="88" xfId="0" applyFont="1" applyBorder="1" applyAlignment="1">
      <alignment horizontal="left" vertical="top" wrapText="1"/>
    </xf>
    <xf numFmtId="0" fontId="82" fillId="0" borderId="1" xfId="0" applyFont="1" applyBorder="1" applyAlignment="1">
      <alignment horizontal="center" vertical="center" wrapText="1"/>
    </xf>
    <xf numFmtId="0" fontId="85" fillId="0" borderId="1" xfId="0" applyFont="1" applyBorder="1" applyAlignment="1">
      <alignment horizontal="center" vertical="center"/>
    </xf>
    <xf numFmtId="0" fontId="82" fillId="0" borderId="2" xfId="0" applyFont="1" applyBorder="1" applyAlignment="1">
      <alignment horizontal="center" vertical="center" wrapText="1"/>
    </xf>
    <xf numFmtId="0" fontId="91" fillId="0" borderId="15" xfId="0" applyFont="1" applyBorder="1" applyAlignment="1">
      <alignment horizontal="left" vertical="center" wrapText="1"/>
    </xf>
    <xf numFmtId="0" fontId="91" fillId="0" borderId="28" xfId="0" applyFont="1" applyBorder="1" applyAlignment="1">
      <alignment horizontal="left" vertical="center" wrapText="1"/>
    </xf>
    <xf numFmtId="0" fontId="91" fillId="0" borderId="15" xfId="0" applyFont="1" applyBorder="1" applyAlignment="1">
      <alignment horizontal="left"/>
    </xf>
    <xf numFmtId="0" fontId="91" fillId="0" borderId="28" xfId="0" applyFont="1" applyBorder="1" applyAlignment="1">
      <alignment horizontal="left"/>
    </xf>
    <xf numFmtId="0" fontId="91" fillId="2" borderId="15" xfId="0" applyFont="1" applyFill="1" applyBorder="1" applyAlignment="1">
      <alignment vertical="center" wrapText="1"/>
    </xf>
    <xf numFmtId="0" fontId="91" fillId="2" borderId="28" xfId="0" applyFont="1" applyFill="1" applyBorder="1" applyAlignment="1">
      <alignment vertical="center" wrapText="1"/>
    </xf>
    <xf numFmtId="0" fontId="89" fillId="0" borderId="92" xfId="0" applyFont="1" applyBorder="1" applyAlignment="1">
      <alignment horizontal="center" vertical="center"/>
    </xf>
    <xf numFmtId="0" fontId="89" fillId="0" borderId="93" xfId="0" applyFont="1" applyBorder="1" applyAlignment="1">
      <alignment horizontal="center" vertical="center"/>
    </xf>
    <xf numFmtId="0" fontId="89" fillId="0" borderId="94" xfId="0" applyFont="1" applyBorder="1" applyAlignment="1">
      <alignment horizontal="center" vertical="center"/>
    </xf>
    <xf numFmtId="0" fontId="91" fillId="0" borderId="1" xfId="0" applyFont="1" applyBorder="1" applyAlignment="1">
      <alignment horizontal="left" vertical="center" wrapText="1"/>
    </xf>
    <xf numFmtId="0" fontId="89" fillId="19" borderId="96" xfId="0" applyFont="1" applyFill="1" applyBorder="1" applyAlignment="1">
      <alignment horizontal="center" vertical="center" wrapText="1"/>
    </xf>
    <xf numFmtId="0" fontId="89" fillId="19" borderId="97" xfId="0" applyFont="1" applyFill="1" applyBorder="1" applyAlignment="1">
      <alignment horizontal="center" vertical="center" wrapText="1"/>
    </xf>
    <xf numFmtId="0" fontId="89" fillId="19" borderId="98" xfId="0" applyFont="1" applyFill="1" applyBorder="1" applyAlignment="1">
      <alignment horizontal="center" vertical="center" wrapText="1"/>
    </xf>
    <xf numFmtId="0" fontId="91" fillId="0" borderId="19" xfId="0" applyFont="1" applyBorder="1" applyAlignment="1">
      <alignment horizontal="left" vertical="center" wrapText="1"/>
    </xf>
    <xf numFmtId="0" fontId="91" fillId="0" borderId="33" xfId="0" applyFont="1" applyBorder="1" applyAlignment="1">
      <alignment horizontal="left" vertical="center" wrapText="1"/>
    </xf>
    <xf numFmtId="0" fontId="92" fillId="2" borderId="15" xfId="0" applyFont="1" applyFill="1" applyBorder="1" applyAlignment="1">
      <alignment vertical="center" wrapText="1"/>
    </xf>
    <xf numFmtId="0" fontId="92" fillId="2" borderId="28" xfId="0" applyFont="1" applyFill="1" applyBorder="1" applyAlignment="1">
      <alignment vertical="center" wrapText="1"/>
    </xf>
    <xf numFmtId="0" fontId="91" fillId="0" borderId="15" xfId="0" applyFont="1" applyBorder="1" applyAlignment="1">
      <alignment vertical="center" wrapText="1"/>
    </xf>
    <xf numFmtId="0" fontId="91" fillId="0" borderId="28" xfId="0" applyFont="1" applyBorder="1" applyAlignment="1">
      <alignment vertical="center" wrapText="1"/>
    </xf>
    <xf numFmtId="0" fontId="91" fillId="0" borderId="16" xfId="0" applyFont="1" applyBorder="1" applyAlignment="1">
      <alignment horizontal="left" vertical="center" wrapText="1"/>
    </xf>
    <xf numFmtId="0" fontId="91" fillId="2" borderId="100" xfId="0" applyFont="1" applyFill="1" applyBorder="1" applyAlignment="1">
      <alignment horizontal="left" vertical="center" wrapText="1"/>
    </xf>
    <xf numFmtId="0" fontId="91" fillId="2" borderId="101" xfId="0" applyFont="1" applyFill="1" applyBorder="1" applyAlignment="1">
      <alignment horizontal="left" vertical="center" wrapText="1"/>
    </xf>
    <xf numFmtId="0" fontId="91" fillId="0" borderId="103" xfId="0" applyFont="1" applyBorder="1" applyAlignment="1">
      <alignment horizontal="left" vertical="center" wrapText="1"/>
    </xf>
    <xf numFmtId="0" fontId="91" fillId="0" borderId="104" xfId="0" applyFont="1" applyBorder="1" applyAlignment="1">
      <alignment horizontal="left" vertical="center" wrapText="1"/>
    </xf>
    <xf numFmtId="0" fontId="91" fillId="0" borderId="19" xfId="0" applyFont="1" applyBorder="1" applyAlignment="1">
      <alignment vertical="center" wrapText="1"/>
    </xf>
    <xf numFmtId="0" fontId="91" fillId="0" borderId="33" xfId="0" applyFont="1" applyBorder="1" applyAlignment="1">
      <alignment vertical="center" wrapText="1"/>
    </xf>
    <xf numFmtId="0" fontId="91" fillId="0" borderId="100" xfId="0" applyFont="1" applyBorder="1" applyAlignment="1">
      <alignment horizontal="left" vertical="center" wrapText="1"/>
    </xf>
    <xf numFmtId="0" fontId="91" fillId="0" borderId="101" xfId="0" applyFont="1" applyBorder="1" applyAlignment="1">
      <alignment horizontal="left" vertical="center" wrapText="1"/>
    </xf>
    <xf numFmtId="0" fontId="92" fillId="2" borderId="15" xfId="0" applyFont="1" applyFill="1" applyBorder="1" applyAlignment="1">
      <alignment horizontal="left" vertical="center" wrapText="1"/>
    </xf>
    <xf numFmtId="0" fontId="92" fillId="2" borderId="28" xfId="0" applyFont="1" applyFill="1" applyBorder="1" applyAlignment="1">
      <alignment horizontal="left" vertical="center" wrapText="1"/>
    </xf>
    <xf numFmtId="0" fontId="89" fillId="19" borderId="105" xfId="0" applyFont="1" applyFill="1" applyBorder="1" applyAlignment="1">
      <alignment horizontal="center" vertical="center" wrapText="1"/>
    </xf>
    <xf numFmtId="0" fontId="89" fillId="19" borderId="0" xfId="0" applyFont="1" applyFill="1" applyAlignment="1">
      <alignment horizontal="center" vertical="center" wrapText="1"/>
    </xf>
    <xf numFmtId="0" fontId="89" fillId="19" borderId="106" xfId="0" applyFont="1" applyFill="1" applyBorder="1" applyAlignment="1">
      <alignment horizontal="center" vertical="center" wrapText="1"/>
    </xf>
    <xf numFmtId="0" fontId="91" fillId="2" borderId="15" xfId="0" applyFont="1" applyFill="1" applyBorder="1" applyAlignment="1">
      <alignment horizontal="left" vertical="center" wrapText="1"/>
    </xf>
    <xf numFmtId="0" fontId="91" fillId="2" borderId="28" xfId="0" applyFont="1" applyFill="1" applyBorder="1" applyAlignment="1">
      <alignment horizontal="left" vertical="center" wrapText="1"/>
    </xf>
    <xf numFmtId="0" fontId="89" fillId="19" borderId="1" xfId="0" applyFont="1" applyFill="1" applyBorder="1" applyAlignment="1">
      <alignment horizontal="center" vertical="center" wrapText="1"/>
    </xf>
    <xf numFmtId="0" fontId="89" fillId="0" borderId="1" xfId="0" applyFont="1" applyBorder="1" applyAlignment="1">
      <alignment horizontal="center" vertical="center"/>
    </xf>
    <xf numFmtId="0" fontId="91" fillId="0" borderId="15" xfId="11" applyFont="1" applyBorder="1" applyAlignment="1" applyProtection="1">
      <alignment horizontal="left" vertical="top" wrapText="1"/>
      <protection locked="0"/>
    </xf>
    <xf numFmtId="0" fontId="91" fillId="0" borderId="28" xfId="11" applyFont="1" applyBorder="1" applyAlignment="1" applyProtection="1">
      <alignment horizontal="left" vertical="top" wrapText="1"/>
      <protection locked="0"/>
    </xf>
    <xf numFmtId="0" fontId="91" fillId="2" borderId="15" xfId="11" applyFont="1" applyFill="1" applyBorder="1" applyAlignment="1" applyProtection="1">
      <alignment horizontal="left" vertical="top" wrapText="1"/>
      <protection locked="0"/>
    </xf>
    <xf numFmtId="0" fontId="91" fillId="2" borderId="28" xfId="11" applyFont="1" applyFill="1" applyBorder="1" applyAlignment="1" applyProtection="1">
      <alignment horizontal="left" vertical="top" wrapText="1"/>
      <protection locked="0"/>
    </xf>
    <xf numFmtId="0" fontId="89" fillId="19" borderId="107" xfId="0" applyFont="1" applyFill="1" applyBorder="1" applyAlignment="1">
      <alignment horizontal="center" vertical="center"/>
    </xf>
    <xf numFmtId="0" fontId="89" fillId="19" borderId="108" xfId="0" applyFont="1" applyFill="1" applyBorder="1" applyAlignment="1">
      <alignment horizontal="center" vertical="center"/>
    </xf>
    <xf numFmtId="0" fontId="89" fillId="19" borderId="109" xfId="0" applyFont="1" applyFill="1" applyBorder="1" applyAlignment="1">
      <alignment horizontal="center" vertical="center"/>
    </xf>
    <xf numFmtId="0" fontId="89" fillId="0" borderId="110" xfId="0" applyFont="1" applyBorder="1" applyAlignment="1">
      <alignment horizontal="center" vertical="center"/>
    </xf>
    <xf numFmtId="0" fontId="89" fillId="19" borderId="15" xfId="0" applyFont="1" applyFill="1" applyBorder="1" applyAlignment="1">
      <alignment horizontal="center" vertical="center" wrapText="1"/>
    </xf>
    <xf numFmtId="0" fontId="89" fillId="19" borderId="28" xfId="0" applyFont="1" applyFill="1" applyBorder="1" applyAlignment="1">
      <alignment horizontal="center" vertical="center" wrapText="1"/>
    </xf>
    <xf numFmtId="0" fontId="91" fillId="0" borderId="15" xfId="0" applyFont="1" applyBorder="1" applyAlignment="1">
      <alignment horizontal="left" vertical="top" wrapText="1"/>
    </xf>
    <xf numFmtId="0" fontId="91" fillId="0" borderId="28" xfId="0" applyFont="1" applyBorder="1" applyAlignment="1">
      <alignment horizontal="left" vertical="top" wrapText="1"/>
    </xf>
    <xf numFmtId="0" fontId="92" fillId="0" borderId="15" xfId="11" applyFont="1" applyBorder="1" applyAlignment="1" applyProtection="1">
      <alignment horizontal="left" vertical="top" wrapText="1"/>
      <protection locked="0"/>
    </xf>
    <xf numFmtId="0" fontId="92" fillId="0" borderId="28" xfId="11" applyFont="1" applyBorder="1" applyAlignment="1" applyProtection="1">
      <alignment horizontal="left" vertical="top" wrapText="1"/>
      <protection locked="0"/>
    </xf>
    <xf numFmtId="49" fontId="91" fillId="0" borderId="0" xfId="0" applyNumberFormat="1" applyFont="1" applyAlignment="1">
      <alignment horizontal="center" vertical="center"/>
    </xf>
    <xf numFmtId="0" fontId="91" fillId="0" borderId="1" xfId="0" applyFont="1" applyBorder="1" applyAlignment="1">
      <alignment horizontal="left" vertical="top" wrapText="1"/>
    </xf>
    <xf numFmtId="0" fontId="91" fillId="0" borderId="1" xfId="0" applyFont="1" applyBorder="1" applyAlignment="1">
      <alignment horizontal="center"/>
    </xf>
    <xf numFmtId="43" fontId="82" fillId="0" borderId="1" xfId="0" applyNumberFormat="1" applyFont="1" applyFill="1" applyBorder="1"/>
    <xf numFmtId="0" fontId="82" fillId="0" borderId="1" xfId="0" applyFont="1" applyFill="1" applyBorder="1"/>
    <xf numFmtId="9" fontId="82" fillId="0" borderId="1" xfId="0" applyNumberFormat="1" applyFont="1" applyFill="1" applyBorder="1"/>
    <xf numFmtId="43" fontId="82" fillId="0" borderId="2" xfId="1" applyFont="1" applyFill="1" applyBorder="1"/>
  </cellXfs>
  <cellStyles count="25">
    <cellStyle name="=C:\WINNT35\SYSTEM32\COMMAND.COM" xfId="19" xr:uid="{6720D683-3B15-432E-B974-10940FE67F38}"/>
    <cellStyle name="1Normal 2" xfId="6" xr:uid="{7D3175B9-BB85-4D84-B9FF-C373312234D1}"/>
    <cellStyle name="Comma" xfId="1" builtinId="3"/>
    <cellStyle name="Comma 10" xfId="20" xr:uid="{8D540D64-3335-44AD-8A96-11883D65C331}"/>
    <cellStyle name="Comma 10 12" xfId="21" xr:uid="{0589CD9A-1662-4723-8085-B3B861FAAFCD}"/>
    <cellStyle name="Comma 111" xfId="23" xr:uid="{1C29AB23-F7E0-44A3-B710-12E0EF10CC89}"/>
    <cellStyle name="Comma 2" xfId="15" xr:uid="{6048F146-F70C-45F2-9189-A95333903E6D}"/>
    <cellStyle name="Comma 3" xfId="10" xr:uid="{AA9C46BB-B328-4C82-BC49-1083EFDECACA}"/>
    <cellStyle name="Hyperlink" xfId="3" builtinId="8"/>
    <cellStyle name="Normal" xfId="0" builtinId="0"/>
    <cellStyle name="Normal 10 2" xfId="22" xr:uid="{7B8D08A7-5786-4FC3-B78B-4D73723687D9}"/>
    <cellStyle name="Normal 121 2" xfId="12" xr:uid="{C7F5C4E7-38B9-4BB3-8EF9-5291939C9C91}"/>
    <cellStyle name="Normal 122" xfId="4" xr:uid="{34DBB93D-B337-4D89-BB2C-B73DBC486DB4}"/>
    <cellStyle name="Normal 123" xfId="7" xr:uid="{4121A65A-8982-4BF7-B345-A8A3447CBC3D}"/>
    <cellStyle name="Normal 2" xfId="5" xr:uid="{05ABFB07-02E5-441F-B6B9-50A77364D797}"/>
    <cellStyle name="Normal 2 2" xfId="13" xr:uid="{1F0048D3-3F3A-42B8-9482-948BC7D18E3A}"/>
    <cellStyle name="Normal 3 10 2 2" xfId="24" xr:uid="{5466BD59-AF02-429B-9856-31E4AF361B77}"/>
    <cellStyle name="Normal 4" xfId="11" xr:uid="{674DAEF7-C880-46B0-A7C6-9BADBA584535}"/>
    <cellStyle name="Normal 4 15" xfId="16" xr:uid="{2A97B34B-0E46-4AED-9D63-0DBF0FEE03DE}"/>
    <cellStyle name="Normal 4 16" xfId="17" xr:uid="{583A8641-658E-4A1D-B084-5D7821618B28}"/>
    <cellStyle name="Normal_Capital &amp; RWA N" xfId="8" xr:uid="{1E34ABA8-A737-48E3-AEBE-8251A4D9B613}"/>
    <cellStyle name="Normal_Capital &amp; RWA N 2" xfId="14" xr:uid="{8C670205-D6CE-41CB-A454-FC049834FAD0}"/>
    <cellStyle name="Normal_Casestdy draft" xfId="18" xr:uid="{FFD5F92F-E219-47DE-AD62-0E574873C133}"/>
    <cellStyle name="Normal_Casestdy draft 2" xfId="9" xr:uid="{8371BCDB-B846-44CD-AF9D-6AF83E81A12C}"/>
    <cellStyle name="Percent" xfId="2" builtinId="5"/>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2" name="Straight Connector 1">
          <a:extLst>
            <a:ext uri="{FF2B5EF4-FFF2-40B4-BE49-F238E27FC236}">
              <a16:creationId xmlns:a16="http://schemas.microsoft.com/office/drawing/2014/main" id="{BB303A7A-B2F8-4B39-999D-DE5D3BDCE1E7}"/>
            </a:ext>
          </a:extLst>
        </xdr:cNvPr>
        <xdr:cNvCxnSpPr/>
      </xdr:nvCxnSpPr>
      <xdr:spPr>
        <a:xfrm>
          <a:off x="723900" y="1059180"/>
          <a:ext cx="6324600" cy="7600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F2876-9488-4D0F-BC64-780CF496DA09}">
  <sheetPr>
    <tabColor theme="2" tint="-9.9978637043366805E-2"/>
  </sheetPr>
  <dimension ref="A1:C38"/>
  <sheetViews>
    <sheetView tabSelected="1" zoomScaleNormal="100" workbookViewId="0">
      <pane xSplit="1" ySplit="7" topLeftCell="B8" activePane="bottomRight" state="frozen"/>
      <selection activeCell="B15" sqref="B15:C15"/>
      <selection pane="topRight" activeCell="B15" sqref="B15:C15"/>
      <selection pane="bottomLeft" activeCell="B15" sqref="B15:C15"/>
      <selection pane="bottomRight" activeCell="B15" sqref="B15:C15"/>
    </sheetView>
  </sheetViews>
  <sheetFormatPr defaultRowHeight="14.4" x14ac:dyDescent="0.3"/>
  <cols>
    <col min="1" max="1" width="10.33203125" style="18" customWidth="1"/>
    <col min="2" max="2" width="153" bestFit="1" customWidth="1"/>
    <col min="3" max="3" width="39.44140625" customWidth="1"/>
    <col min="7" max="7" width="25" customWidth="1"/>
  </cols>
  <sheetData>
    <row r="1" spans="1:3" x14ac:dyDescent="0.3">
      <c r="A1" s="1"/>
      <c r="B1" s="2" t="s">
        <v>0</v>
      </c>
      <c r="C1" s="3"/>
    </row>
    <row r="2" spans="1:3" s="7" customFormat="1" x14ac:dyDescent="0.3">
      <c r="A2" s="4">
        <v>1</v>
      </c>
      <c r="B2" s="5" t="s">
        <v>1</v>
      </c>
      <c r="C2" s="6" t="s">
        <v>2</v>
      </c>
    </row>
    <row r="3" spans="1:3" s="7" customFormat="1" x14ac:dyDescent="0.3">
      <c r="A3" s="4">
        <v>2</v>
      </c>
      <c r="B3" s="8" t="s">
        <v>3</v>
      </c>
      <c r="C3" s="6" t="s">
        <v>4</v>
      </c>
    </row>
    <row r="4" spans="1:3" s="7" customFormat="1" x14ac:dyDescent="0.3">
      <c r="A4" s="4">
        <v>3</v>
      </c>
      <c r="B4" s="8" t="s">
        <v>5</v>
      </c>
      <c r="C4" s="6" t="s">
        <v>6</v>
      </c>
    </row>
    <row r="5" spans="1:3" s="7" customFormat="1" x14ac:dyDescent="0.3">
      <c r="A5" s="9">
        <v>4</v>
      </c>
      <c r="B5" s="10" t="s">
        <v>7</v>
      </c>
      <c r="C5" s="6" t="s">
        <v>8</v>
      </c>
    </row>
    <row r="6" spans="1:3" s="11" customFormat="1" ht="65.25" customHeight="1" x14ac:dyDescent="0.3">
      <c r="A6" s="793" t="s">
        <v>9</v>
      </c>
      <c r="B6" s="794"/>
      <c r="C6" s="794"/>
    </row>
    <row r="7" spans="1:3" x14ac:dyDescent="0.3">
      <c r="A7" s="12" t="s">
        <v>10</v>
      </c>
      <c r="B7" s="2" t="s">
        <v>11</v>
      </c>
    </row>
    <row r="8" spans="1:3" x14ac:dyDescent="0.3">
      <c r="A8" s="1">
        <v>1</v>
      </c>
      <c r="B8" s="13" t="s">
        <v>12</v>
      </c>
    </row>
    <row r="9" spans="1:3" x14ac:dyDescent="0.3">
      <c r="A9" s="1">
        <v>2</v>
      </c>
      <c r="B9" s="13" t="s">
        <v>13</v>
      </c>
    </row>
    <row r="10" spans="1:3" x14ac:dyDescent="0.3">
      <c r="A10" s="1">
        <v>3</v>
      </c>
      <c r="B10" s="13" t="s">
        <v>14</v>
      </c>
    </row>
    <row r="11" spans="1:3" x14ac:dyDescent="0.3">
      <c r="A11" s="1">
        <v>4</v>
      </c>
      <c r="B11" s="13" t="s">
        <v>15</v>
      </c>
    </row>
    <row r="12" spans="1:3" x14ac:dyDescent="0.3">
      <c r="A12" s="1">
        <v>5</v>
      </c>
      <c r="B12" s="13" t="s">
        <v>16</v>
      </c>
    </row>
    <row r="13" spans="1:3" x14ac:dyDescent="0.3">
      <c r="A13" s="1">
        <v>6</v>
      </c>
      <c r="B13" s="14" t="s">
        <v>17</v>
      </c>
    </row>
    <row r="14" spans="1:3" x14ac:dyDescent="0.3">
      <c r="A14" s="1">
        <v>7</v>
      </c>
      <c r="B14" s="13" t="s">
        <v>18</v>
      </c>
    </row>
    <row r="15" spans="1:3" x14ac:dyDescent="0.3">
      <c r="A15" s="1">
        <v>8</v>
      </c>
      <c r="B15" s="13" t="s">
        <v>19</v>
      </c>
    </row>
    <row r="16" spans="1:3" x14ac:dyDescent="0.3">
      <c r="A16" s="1">
        <v>9</v>
      </c>
      <c r="B16" s="13" t="s">
        <v>20</v>
      </c>
    </row>
    <row r="17" spans="1:2" x14ac:dyDescent="0.3">
      <c r="A17" s="15" t="s">
        <v>21</v>
      </c>
      <c r="B17" s="13" t="s">
        <v>22</v>
      </c>
    </row>
    <row r="18" spans="1:2" x14ac:dyDescent="0.3">
      <c r="A18" s="1">
        <v>9.1999999999999993</v>
      </c>
      <c r="B18" s="13" t="s">
        <v>23</v>
      </c>
    </row>
    <row r="19" spans="1:2" x14ac:dyDescent="0.3">
      <c r="A19" s="1">
        <v>9.3000000000000007</v>
      </c>
      <c r="B19" s="13" t="s">
        <v>24</v>
      </c>
    </row>
    <row r="20" spans="1:2" x14ac:dyDescent="0.3">
      <c r="A20" s="1">
        <v>10</v>
      </c>
      <c r="B20" s="13" t="s">
        <v>25</v>
      </c>
    </row>
    <row r="21" spans="1:2" x14ac:dyDescent="0.3">
      <c r="A21" s="1">
        <v>11</v>
      </c>
      <c r="B21" s="14" t="s">
        <v>26</v>
      </c>
    </row>
    <row r="22" spans="1:2" x14ac:dyDescent="0.3">
      <c r="A22" s="1">
        <v>12</v>
      </c>
      <c r="B22" s="14" t="s">
        <v>27</v>
      </c>
    </row>
    <row r="23" spans="1:2" x14ac:dyDescent="0.3">
      <c r="A23" s="1">
        <v>13</v>
      </c>
      <c r="B23" s="16" t="s">
        <v>28</v>
      </c>
    </row>
    <row r="24" spans="1:2" x14ac:dyDescent="0.3">
      <c r="A24" s="1">
        <v>14</v>
      </c>
      <c r="B24" s="13" t="s">
        <v>29</v>
      </c>
    </row>
    <row r="25" spans="1:2" x14ac:dyDescent="0.3">
      <c r="A25" s="1">
        <v>15</v>
      </c>
      <c r="B25" s="13" t="s">
        <v>30</v>
      </c>
    </row>
    <row r="26" spans="1:2" x14ac:dyDescent="0.3">
      <c r="A26" s="1">
        <v>15.1</v>
      </c>
      <c r="B26" s="13" t="s">
        <v>31</v>
      </c>
    </row>
    <row r="27" spans="1:2" x14ac:dyDescent="0.3">
      <c r="A27" s="1">
        <v>15.2</v>
      </c>
      <c r="B27" s="13" t="s">
        <v>32</v>
      </c>
    </row>
    <row r="28" spans="1:2" x14ac:dyDescent="0.3">
      <c r="A28" s="1">
        <v>16</v>
      </c>
      <c r="B28" s="13" t="s">
        <v>33</v>
      </c>
    </row>
    <row r="29" spans="1:2" x14ac:dyDescent="0.3">
      <c r="A29" s="1">
        <v>17</v>
      </c>
      <c r="B29" s="13" t="s">
        <v>34</v>
      </c>
    </row>
    <row r="30" spans="1:2" x14ac:dyDescent="0.3">
      <c r="A30" s="1">
        <v>18</v>
      </c>
      <c r="B30" s="13" t="s">
        <v>35</v>
      </c>
    </row>
    <row r="31" spans="1:2" x14ac:dyDescent="0.3">
      <c r="A31" s="1">
        <v>19</v>
      </c>
      <c r="B31" s="13" t="s">
        <v>36</v>
      </c>
    </row>
    <row r="32" spans="1:2" x14ac:dyDescent="0.3">
      <c r="A32" s="1">
        <v>20</v>
      </c>
      <c r="B32" s="13" t="s">
        <v>37</v>
      </c>
    </row>
    <row r="33" spans="1:2" x14ac:dyDescent="0.3">
      <c r="A33" s="1">
        <v>21</v>
      </c>
      <c r="B33" s="13" t="s">
        <v>38</v>
      </c>
    </row>
    <row r="34" spans="1:2" x14ac:dyDescent="0.3">
      <c r="A34" s="1">
        <v>22</v>
      </c>
      <c r="B34" s="13" t="s">
        <v>39</v>
      </c>
    </row>
    <row r="35" spans="1:2" ht="26.4" x14ac:dyDescent="0.3">
      <c r="A35" s="1">
        <v>23</v>
      </c>
      <c r="B35" s="17" t="s">
        <v>40</v>
      </c>
    </row>
    <row r="36" spans="1:2" x14ac:dyDescent="0.3">
      <c r="A36" s="1">
        <v>24</v>
      </c>
      <c r="B36" s="13" t="s">
        <v>41</v>
      </c>
    </row>
    <row r="37" spans="1:2" x14ac:dyDescent="0.3">
      <c r="A37" s="1">
        <v>25</v>
      </c>
      <c r="B37" s="13" t="s">
        <v>42</v>
      </c>
    </row>
    <row r="38" spans="1:2" x14ac:dyDescent="0.3">
      <c r="A38" s="1">
        <v>26</v>
      </c>
      <c r="B38" s="13" t="s">
        <v>43</v>
      </c>
    </row>
  </sheetData>
  <mergeCells count="1">
    <mergeCell ref="A6:C6"/>
  </mergeCells>
  <hyperlinks>
    <hyperlink ref="B8" location="'1. key ratios'!A1" display="ცხრილი 1: ძირითადი მაჩვენებლები" xr:uid="{444156C5-4744-4089-8C84-BC706683479C}"/>
    <hyperlink ref="B9" location="'2. SOFP'!A1" display="საბალანსო უწყისი" xr:uid="{A6E8CE66-A916-42A8-A585-AE207489FE22}"/>
    <hyperlink ref="B10" location="'3. SOPL'!A1" display="მოგება-ზარალის ანგარიშგება" xr:uid="{276F3977-B04E-43D7-8822-C52B0811AF21}"/>
    <hyperlink ref="B11" location="'4. Off-Balance'!A1" display="ბალანსგარეშე ანგარიშების უწყისი " xr:uid="{E0A8416A-A570-4260-AD24-374ADE888D76}"/>
    <hyperlink ref="B12" location="'5. RWA'!A1" display="ცხრილი 5: რისკის მიხედვით შეწონილი რისკის პოზიციები" xr:uid="{C1D1898E-E384-4B07-9695-8B5041ADCBD5}"/>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9417E70C-2DF5-40C0-B0E2-DB9E44B6552A}"/>
    <hyperlink ref="B13" location="'6. Administrators-shareholders'!A1" display="ინფორმაცია ბანკის სამეთვალყურეო საბჭოს, დირექტორატის და აქციონერთა შესახებ" xr:uid="{43258B5C-21CD-4AF4-B18C-11814BEBBA1E}"/>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3089B58C-116B-4BAB-8EE1-0ACC24DB0101}"/>
    <hyperlink ref="B16" location="'9. Capital'!A1" display="ცხრილი 9: საზედამხედველო კაპიტალი" xr:uid="{40C14E50-9DD2-47D3-8022-73B3D3DF44D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F033958F-F22B-440C-BB14-F3F436C68422}"/>
    <hyperlink ref="B22" location="'12. CRM'!A1" display="საკრედიტო რისკის მიტიგაცია" xr:uid="{1304ED47-37DC-4912-AE4C-B6D1D3E7AC39}"/>
    <hyperlink ref="B21" location="'11. CRWA'!A1" display="საკრედიტო რისკის მიხედვით შეწონილი რისკის პოზიციები" xr:uid="{DDC44ED0-23CB-4C96-93FD-D7DAEAD558CE}"/>
    <hyperlink ref="B23" location="'13. CRME'!A1" display="სტანდარტიზებული მიდგომა - საკრედიტო რისკი საკრედიტო რისკის მიტიგაციის ეფექტი" xr:uid="{5318FBD1-C8F4-4CCB-A8BA-44E70550CE92}"/>
    <hyperlink ref="B25" location="'15. CCR'!A1" display="კონტრაგენტთან დაკავშირებული საკრედიტო რისკის მიხედვით შეწონილი რისკის პოზიციები" xr:uid="{B17C3870-9770-4017-AA22-6EB65B7315C4}"/>
    <hyperlink ref="B24" location="'14. LCR'!A1" display="ლიკვიდობის გადაფარვის კოეფიციენტი" xr:uid="{DDE4A753-0176-40A2-A4FF-469A817B49BE}"/>
    <hyperlink ref="B17" location="'9.1. Capital Requirements'!A1" display="კაპიტალის ადეკვატურობის მოთხოვნები" xr:uid="{25845B9C-9B9C-41E5-93DF-332C28488A1F}"/>
    <hyperlink ref="B26" location="'15.1. LR'!A1" display="ლევერიჯის კოეფიციენტი" xr:uid="{B7F77AD3-AF36-4393-A80A-A11C2104D0FF}"/>
    <hyperlink ref="B28" location="'16. NSFR'!A1" display="წმინდა სტაბილური დაფინანსების კოეფიციენტი" xr:uid="{BC677385-3040-4BCD-B843-5B0C5571C95A}"/>
    <hyperlink ref="B29" location="' 17. Residual Maturity'!A1" display="რისკის პოზიციის ღირებულება ნარჩენი ვადიანობის  და რისკის კლასების მიხედვით" xr:uid="{2172F57D-66C8-4EA7-8EEA-B862789C6B2C}"/>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F7D6700A-2FF0-4F04-BFD0-3D4F7FD3AEE8}"/>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EACA9D4A-A145-4FDF-B412-AF83ED4F8B0D}"/>
    <hyperlink ref="B33" location="'21. NPL'!A1" display="უმოქმედო სესხების ცვლილება" xr:uid="{E081FE06-2B5D-4889-85DC-B5F42842E3B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C9910F2A-E154-488E-B8D2-734D2EA2C53F}"/>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674DEA8B-D14C-4AA8-8DB9-F7C18DABE212}"/>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8AAFE748-ABC6-4CBF-9CA2-4A48999A387F}"/>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F79CDED7-BE14-4E35-979C-A38C4A4472D3}"/>
    <hyperlink ref="B32" location="'20. Reserves'!A1" display="რეზერვის ცვლილება სესხებზე და კორპორატიულ სავალო ფასიანი ქაღალდებზე" xr:uid="{F56E1747-0561-4252-A7D1-89459BBC5000}"/>
    <hyperlink ref="B38" location="'26. Retail Products'!A1" display="ზოგადი ინფორმაცია საცალო პროდუქტებზე" xr:uid="{F0016DDB-64C6-4DA4-9FFD-E3D04F75EC41}"/>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6A47DC44-8A97-415E-820B-663F7DCC285D}"/>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346C2387-7D60-44AE-AC2E-6ECBE9F48060}"/>
    <hyperlink ref="B27" location="'15.2. CVA'!A1" display="საკრედიტო გადაფასების კორექტირება" xr:uid="{A3BF729B-7C39-47A7-947F-0A4383B5552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0118-8A23-4431-9177-1703B8438264}">
  <sheetPr>
    <tabColor theme="2" tint="-9.9978637043366805E-2"/>
  </sheetPr>
  <dimension ref="A1:F56"/>
  <sheetViews>
    <sheetView zoomScale="130" zoomScaleNormal="130" workbookViewId="0">
      <pane xSplit="1" ySplit="5" topLeftCell="B7" activePane="bottomRight" state="frozen"/>
      <selection activeCell="B15" sqref="B15:C15"/>
      <selection pane="topRight" activeCell="B15" sqref="B15:C15"/>
      <selection pane="bottomLeft" activeCell="B15" sqref="B15:C15"/>
      <selection pane="bottomRight" activeCell="A20" sqref="A20"/>
    </sheetView>
  </sheetViews>
  <sheetFormatPr defaultRowHeight="14.4" x14ac:dyDescent="0.3"/>
  <cols>
    <col min="1" max="1" width="9.5546875" style="18" bestFit="1" customWidth="1"/>
    <col min="2" max="2" width="132.44140625" style="18" customWidth="1"/>
    <col min="3" max="3" width="18.44140625" style="18" customWidth="1"/>
    <col min="4" max="4" width="10.88671875" bestFit="1" customWidth="1"/>
    <col min="5" max="5" width="13.6640625" style="191" bestFit="1" customWidth="1"/>
  </cols>
  <sheetData>
    <row r="1" spans="1:6" x14ac:dyDescent="0.3">
      <c r="A1" s="19" t="s">
        <v>44</v>
      </c>
      <c r="B1" s="21" t="str">
        <f>Info!C2</f>
        <v>სს სილქ ბანკი</v>
      </c>
      <c r="D1" s="18"/>
      <c r="E1" s="238"/>
      <c r="F1" s="18"/>
    </row>
    <row r="2" spans="1:6" s="19" customFormat="1" ht="15.75" customHeight="1" x14ac:dyDescent="0.3">
      <c r="A2" s="19" t="s">
        <v>45</v>
      </c>
      <c r="B2" s="22">
        <f>'1. key ratios'!B2</f>
        <v>46112</v>
      </c>
      <c r="E2" s="192"/>
    </row>
    <row r="3" spans="1:6" s="19" customFormat="1" ht="15.75" customHeight="1" x14ac:dyDescent="0.3">
      <c r="E3" s="192"/>
    </row>
    <row r="4" spans="1:6" ht="15" thickBot="1" x14ac:dyDescent="0.35">
      <c r="A4" s="18" t="s">
        <v>305</v>
      </c>
      <c r="B4" s="239" t="s">
        <v>20</v>
      </c>
    </row>
    <row r="5" spans="1:6" x14ac:dyDescent="0.3">
      <c r="A5" s="240" t="s">
        <v>48</v>
      </c>
      <c r="B5" s="241"/>
      <c r="C5" s="242" t="s">
        <v>94</v>
      </c>
    </row>
    <row r="6" spans="1:6" x14ac:dyDescent="0.3">
      <c r="A6" s="243">
        <v>1</v>
      </c>
      <c r="B6" s="244" t="s">
        <v>306</v>
      </c>
      <c r="C6" s="245">
        <f>SUM(C7:C11)</f>
        <v>56115349.370954856</v>
      </c>
      <c r="E6" s="231">
        <v>0</v>
      </c>
    </row>
    <row r="7" spans="1:6" x14ac:dyDescent="0.3">
      <c r="A7" s="243">
        <v>2</v>
      </c>
      <c r="B7" s="246" t="s">
        <v>307</v>
      </c>
      <c r="C7" s="247">
        <v>111246400</v>
      </c>
      <c r="E7" s="231"/>
    </row>
    <row r="8" spans="1:6" x14ac:dyDescent="0.3">
      <c r="A8" s="243">
        <v>3</v>
      </c>
      <c r="B8" s="248" t="s">
        <v>308</v>
      </c>
      <c r="C8" s="247"/>
      <c r="E8" s="231"/>
    </row>
    <row r="9" spans="1:6" x14ac:dyDescent="0.3">
      <c r="A9" s="243">
        <v>4</v>
      </c>
      <c r="B9" s="248" t="s">
        <v>309</v>
      </c>
      <c r="C9" s="247"/>
      <c r="E9" s="231"/>
    </row>
    <row r="10" spans="1:6" x14ac:dyDescent="0.3">
      <c r="A10" s="243">
        <v>5</v>
      </c>
      <c r="B10" s="248" t="s">
        <v>310</v>
      </c>
      <c r="C10" s="247">
        <v>3662377.0166368578</v>
      </c>
      <c r="E10" s="231"/>
    </row>
    <row r="11" spans="1:6" x14ac:dyDescent="0.3">
      <c r="A11" s="243">
        <v>6</v>
      </c>
      <c r="B11" s="249" t="s">
        <v>311</v>
      </c>
      <c r="C11" s="247">
        <v>-58793427.645682007</v>
      </c>
      <c r="E11" s="231"/>
    </row>
    <row r="12" spans="1:6" s="226" customFormat="1" x14ac:dyDescent="0.3">
      <c r="A12" s="243">
        <v>7</v>
      </c>
      <c r="B12" s="244" t="s">
        <v>312</v>
      </c>
      <c r="C12" s="250">
        <f>SUM(C13:C28)</f>
        <v>19266461.09064579</v>
      </c>
      <c r="E12" s="231"/>
    </row>
    <row r="13" spans="1:6" s="226" customFormat="1" x14ac:dyDescent="0.3">
      <c r="A13" s="243">
        <v>8</v>
      </c>
      <c r="B13" s="251" t="s">
        <v>313</v>
      </c>
      <c r="C13" s="252">
        <f>C10</f>
        <v>3662377.0166368578</v>
      </c>
      <c r="E13" s="231"/>
    </row>
    <row r="14" spans="1:6" s="226" customFormat="1" ht="27.6" x14ac:dyDescent="0.3">
      <c r="A14" s="243">
        <v>9</v>
      </c>
      <c r="B14" s="253" t="s">
        <v>314</v>
      </c>
      <c r="C14" s="252"/>
      <c r="E14" s="231"/>
    </row>
    <row r="15" spans="1:6" s="226" customFormat="1" x14ac:dyDescent="0.3">
      <c r="A15" s="243">
        <v>10</v>
      </c>
      <c r="B15" s="254" t="s">
        <v>116</v>
      </c>
      <c r="C15" s="252">
        <f>'7. LI1'!C28</f>
        <v>12738280.079999996</v>
      </c>
      <c r="E15" s="231"/>
    </row>
    <row r="16" spans="1:6" s="226" customFormat="1" x14ac:dyDescent="0.3">
      <c r="A16" s="243">
        <v>11</v>
      </c>
      <c r="B16" s="255" t="s">
        <v>315</v>
      </c>
      <c r="C16" s="252"/>
      <c r="E16" s="231"/>
    </row>
    <row r="17" spans="1:5" s="226" customFormat="1" x14ac:dyDescent="0.3">
      <c r="A17" s="243">
        <v>12</v>
      </c>
      <c r="B17" s="254" t="s">
        <v>316</v>
      </c>
      <c r="C17" s="252"/>
      <c r="E17" s="231"/>
    </row>
    <row r="18" spans="1:5" s="226" customFormat="1" x14ac:dyDescent="0.3">
      <c r="A18" s="243">
        <v>13</v>
      </c>
      <c r="B18" s="254" t="s">
        <v>317</v>
      </c>
      <c r="C18" s="252"/>
      <c r="E18" s="231"/>
    </row>
    <row r="19" spans="1:5" s="226" customFormat="1" x14ac:dyDescent="0.3">
      <c r="A19" s="243">
        <v>14</v>
      </c>
      <c r="B19" s="254" t="s">
        <v>318</v>
      </c>
      <c r="C19" s="252"/>
      <c r="E19" s="231"/>
    </row>
    <row r="20" spans="1:5" s="226" customFormat="1" ht="27.6" x14ac:dyDescent="0.3">
      <c r="A20" s="243">
        <v>15</v>
      </c>
      <c r="B20" s="254" t="s">
        <v>319</v>
      </c>
      <c r="C20" s="252">
        <f>'2. SOFP'!C32</f>
        <v>2865803.9940089369</v>
      </c>
      <c r="E20" s="231"/>
    </row>
    <row r="21" spans="1:5" s="226" customFormat="1" ht="27.6" x14ac:dyDescent="0.3">
      <c r="A21" s="243">
        <v>16</v>
      </c>
      <c r="B21" s="253" t="s">
        <v>320</v>
      </c>
      <c r="C21" s="252"/>
      <c r="E21" s="231"/>
    </row>
    <row r="22" spans="1:5" s="226" customFormat="1" x14ac:dyDescent="0.3">
      <c r="A22" s="243">
        <v>17</v>
      </c>
      <c r="B22" s="256" t="s">
        <v>321</v>
      </c>
      <c r="C22" s="252"/>
      <c r="E22" s="231"/>
    </row>
    <row r="23" spans="1:5" s="226" customFormat="1" x14ac:dyDescent="0.3">
      <c r="A23" s="243">
        <v>18</v>
      </c>
      <c r="B23" s="257" t="s">
        <v>322</v>
      </c>
      <c r="C23" s="252"/>
      <c r="E23" s="231"/>
    </row>
    <row r="24" spans="1:5" s="226" customFormat="1" ht="27.6" x14ac:dyDescent="0.3">
      <c r="A24" s="243">
        <v>19</v>
      </c>
      <c r="B24" s="253" t="s">
        <v>323</v>
      </c>
      <c r="C24" s="252"/>
      <c r="E24" s="231"/>
    </row>
    <row r="25" spans="1:5" s="226" customFormat="1" ht="27.6" x14ac:dyDescent="0.3">
      <c r="A25" s="243">
        <v>20</v>
      </c>
      <c r="B25" s="253" t="s">
        <v>324</v>
      </c>
      <c r="C25" s="252"/>
      <c r="E25" s="231"/>
    </row>
    <row r="26" spans="1:5" s="226" customFormat="1" ht="27.6" x14ac:dyDescent="0.3">
      <c r="A26" s="243">
        <v>21</v>
      </c>
      <c r="B26" s="255" t="s">
        <v>325</v>
      </c>
      <c r="C26" s="252"/>
      <c r="E26" s="231"/>
    </row>
    <row r="27" spans="1:5" s="226" customFormat="1" x14ac:dyDescent="0.3">
      <c r="A27" s="243">
        <v>22</v>
      </c>
      <c r="B27" s="255" t="s">
        <v>326</v>
      </c>
      <c r="C27" s="252"/>
      <c r="E27" s="231"/>
    </row>
    <row r="28" spans="1:5" s="226" customFormat="1" ht="27.6" x14ac:dyDescent="0.3">
      <c r="A28" s="243">
        <v>23</v>
      </c>
      <c r="B28" s="255" t="s">
        <v>327</v>
      </c>
      <c r="C28" s="252"/>
      <c r="E28" s="231"/>
    </row>
    <row r="29" spans="1:5" s="226" customFormat="1" x14ac:dyDescent="0.3">
      <c r="A29" s="243">
        <v>24</v>
      </c>
      <c r="B29" s="258" t="s">
        <v>51</v>
      </c>
      <c r="C29" s="250">
        <f>C6-C12</f>
        <v>36848888.280309066</v>
      </c>
      <c r="E29" s="231"/>
    </row>
    <row r="30" spans="1:5" s="226" customFormat="1" x14ac:dyDescent="0.3">
      <c r="A30" s="259"/>
      <c r="B30" s="260"/>
      <c r="C30" s="252"/>
      <c r="E30" s="231"/>
    </row>
    <row r="31" spans="1:5" s="226" customFormat="1" x14ac:dyDescent="0.3">
      <c r="A31" s="259">
        <v>25</v>
      </c>
      <c r="B31" s="258" t="s">
        <v>328</v>
      </c>
      <c r="C31" s="250">
        <f>C32+C35</f>
        <v>0</v>
      </c>
      <c r="E31" s="231"/>
    </row>
    <row r="32" spans="1:5" s="226" customFormat="1" x14ac:dyDescent="0.3">
      <c r="A32" s="259">
        <v>26</v>
      </c>
      <c r="B32" s="248" t="s">
        <v>329</v>
      </c>
      <c r="C32" s="261">
        <f>C33+C34</f>
        <v>0</v>
      </c>
      <c r="E32" s="231"/>
    </row>
    <row r="33" spans="1:5" s="226" customFormat="1" x14ac:dyDescent="0.3">
      <c r="A33" s="259">
        <v>27</v>
      </c>
      <c r="B33" s="262" t="s">
        <v>330</v>
      </c>
      <c r="C33" s="252"/>
      <c r="E33" s="231"/>
    </row>
    <row r="34" spans="1:5" s="226" customFormat="1" x14ac:dyDescent="0.3">
      <c r="A34" s="259">
        <v>28</v>
      </c>
      <c r="B34" s="262" t="s">
        <v>331</v>
      </c>
      <c r="C34" s="252"/>
      <c r="E34" s="231"/>
    </row>
    <row r="35" spans="1:5" s="226" customFormat="1" x14ac:dyDescent="0.3">
      <c r="A35" s="259">
        <v>29</v>
      </c>
      <c r="B35" s="248" t="s">
        <v>332</v>
      </c>
      <c r="C35" s="252"/>
      <c r="E35" s="231"/>
    </row>
    <row r="36" spans="1:5" s="226" customFormat="1" x14ac:dyDescent="0.3">
      <c r="A36" s="259">
        <v>30</v>
      </c>
      <c r="B36" s="258" t="s">
        <v>333</v>
      </c>
      <c r="C36" s="250">
        <f>SUM(C37:C41)</f>
        <v>0</v>
      </c>
      <c r="E36" s="231"/>
    </row>
    <row r="37" spans="1:5" s="226" customFormat="1" x14ac:dyDescent="0.3">
      <c r="A37" s="259">
        <v>31</v>
      </c>
      <c r="B37" s="253" t="s">
        <v>334</v>
      </c>
      <c r="C37" s="252"/>
      <c r="E37" s="231"/>
    </row>
    <row r="38" spans="1:5" s="226" customFormat="1" x14ac:dyDescent="0.3">
      <c r="A38" s="259">
        <v>32</v>
      </c>
      <c r="B38" s="254" t="s">
        <v>335</v>
      </c>
      <c r="C38" s="252"/>
      <c r="E38" s="231"/>
    </row>
    <row r="39" spans="1:5" s="226" customFormat="1" ht="27.6" x14ac:dyDescent="0.3">
      <c r="A39" s="259">
        <v>33</v>
      </c>
      <c r="B39" s="253" t="s">
        <v>336</v>
      </c>
      <c r="C39" s="252"/>
      <c r="E39" s="231"/>
    </row>
    <row r="40" spans="1:5" s="226" customFormat="1" ht="27.6" x14ac:dyDescent="0.3">
      <c r="A40" s="259">
        <v>34</v>
      </c>
      <c r="B40" s="253" t="s">
        <v>324</v>
      </c>
      <c r="C40" s="252"/>
      <c r="E40" s="231"/>
    </row>
    <row r="41" spans="1:5" s="226" customFormat="1" ht="27.6" x14ac:dyDescent="0.3">
      <c r="A41" s="259">
        <v>35</v>
      </c>
      <c r="B41" s="255" t="s">
        <v>337</v>
      </c>
      <c r="C41" s="252"/>
      <c r="E41" s="231"/>
    </row>
    <row r="42" spans="1:5" s="226" customFormat="1" x14ac:dyDescent="0.3">
      <c r="A42" s="259">
        <v>36</v>
      </c>
      <c r="B42" s="258" t="s">
        <v>338</v>
      </c>
      <c r="C42" s="250">
        <f>C31-C36</f>
        <v>0</v>
      </c>
      <c r="E42" s="231"/>
    </row>
    <row r="43" spans="1:5" s="226" customFormat="1" x14ac:dyDescent="0.3">
      <c r="A43" s="259"/>
      <c r="B43" s="260"/>
      <c r="C43" s="252"/>
      <c r="E43" s="231"/>
    </row>
    <row r="44" spans="1:5" s="226" customFormat="1" x14ac:dyDescent="0.3">
      <c r="A44" s="259">
        <v>37</v>
      </c>
      <c r="B44" s="263" t="s">
        <v>339</v>
      </c>
      <c r="C44" s="250">
        <f>SUM(C45:C47)</f>
        <v>16323757.48</v>
      </c>
      <c r="E44" s="231"/>
    </row>
    <row r="45" spans="1:5" s="226" customFormat="1" x14ac:dyDescent="0.3">
      <c r="A45" s="259">
        <v>38</v>
      </c>
      <c r="B45" s="248" t="s">
        <v>340</v>
      </c>
      <c r="C45" s="252">
        <v>16323757.48</v>
      </c>
      <c r="D45" s="264"/>
      <c r="E45" s="231"/>
    </row>
    <row r="46" spans="1:5" s="226" customFormat="1" x14ac:dyDescent="0.3">
      <c r="A46" s="259">
        <v>39</v>
      </c>
      <c r="B46" s="248" t="s">
        <v>341</v>
      </c>
      <c r="C46" s="252"/>
      <c r="E46" s="231"/>
    </row>
    <row r="47" spans="1:5" s="226" customFormat="1" x14ac:dyDescent="0.3">
      <c r="A47" s="259">
        <v>40</v>
      </c>
      <c r="B47" s="265" t="s">
        <v>342</v>
      </c>
      <c r="C47" s="252"/>
      <c r="E47" s="231"/>
    </row>
    <row r="48" spans="1:5" s="226" customFormat="1" x14ac:dyDescent="0.3">
      <c r="A48" s="259">
        <v>41</v>
      </c>
      <c r="B48" s="263" t="s">
        <v>343</v>
      </c>
      <c r="C48" s="250">
        <f>SUM(C49:C52)</f>
        <v>0</v>
      </c>
      <c r="E48" s="231"/>
    </row>
    <row r="49" spans="1:5" s="226" customFormat="1" x14ac:dyDescent="0.3">
      <c r="A49" s="259">
        <v>42</v>
      </c>
      <c r="B49" s="253" t="s">
        <v>344</v>
      </c>
      <c r="C49" s="252"/>
      <c r="E49" s="231"/>
    </row>
    <row r="50" spans="1:5" s="226" customFormat="1" x14ac:dyDescent="0.3">
      <c r="A50" s="259">
        <v>43</v>
      </c>
      <c r="B50" s="254" t="s">
        <v>345</v>
      </c>
      <c r="C50" s="252"/>
      <c r="E50" s="231"/>
    </row>
    <row r="51" spans="1:5" s="226" customFormat="1" ht="27.6" x14ac:dyDescent="0.3">
      <c r="A51" s="259">
        <v>44</v>
      </c>
      <c r="B51" s="253" t="s">
        <v>346</v>
      </c>
      <c r="C51" s="252"/>
      <c r="E51" s="231"/>
    </row>
    <row r="52" spans="1:5" s="226" customFormat="1" ht="27.6" x14ac:dyDescent="0.3">
      <c r="A52" s="259">
        <v>45</v>
      </c>
      <c r="B52" s="253" t="s">
        <v>324</v>
      </c>
      <c r="C52" s="252"/>
      <c r="E52" s="231"/>
    </row>
    <row r="53" spans="1:5" s="226" customFormat="1" ht="15" thickBot="1" x14ac:dyDescent="0.35">
      <c r="A53" s="259">
        <v>46</v>
      </c>
      <c r="B53" s="266" t="s">
        <v>347</v>
      </c>
      <c r="C53" s="267">
        <f>C44-C48</f>
        <v>16323757.48</v>
      </c>
      <c r="E53" s="231"/>
    </row>
    <row r="54" spans="1:5" x14ac:dyDescent="0.3">
      <c r="C54" s="268"/>
      <c r="D54" s="269"/>
    </row>
    <row r="56" spans="1:5" x14ac:dyDescent="0.3">
      <c r="B56" s="18" t="s">
        <v>348</v>
      </c>
    </row>
  </sheetData>
  <dataValidations count="1">
    <dataValidation operator="lessThanOrEqual" allowBlank="1" showInputMessage="1" showErrorMessage="1" errorTitle="Should be negative number" error="Should be whole negative number or 0" sqref="C13:C53" xr:uid="{80266BE0-B240-4756-A45D-412C3E031E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00EC4-2344-410E-9BB6-65928395E734}">
  <sheetPr>
    <tabColor theme="2" tint="-9.9978637043366805E-2"/>
  </sheetPr>
  <dimension ref="A1:D23"/>
  <sheetViews>
    <sheetView zoomScale="80" zoomScaleNormal="80" workbookViewId="0">
      <selection activeCell="C19" sqref="C19:D21"/>
    </sheetView>
  </sheetViews>
  <sheetFormatPr defaultColWidth="9.33203125" defaultRowHeight="13.8" x14ac:dyDescent="0.3"/>
  <cols>
    <col min="1" max="1" width="10.6640625" style="18" bestFit="1" customWidth="1"/>
    <col min="2" max="2" width="59" style="18" customWidth="1"/>
    <col min="3" max="3" width="16.6640625" style="18" bestFit="1" customWidth="1"/>
    <col min="4" max="4" width="22.33203125" style="18" customWidth="1"/>
    <col min="5" max="16384" width="9.33203125" style="18"/>
  </cols>
  <sheetData>
    <row r="1" spans="1:4" x14ac:dyDescent="0.3">
      <c r="A1" s="19" t="s">
        <v>44</v>
      </c>
      <c r="B1" s="21" t="str">
        <f>Info!C2</f>
        <v>სს სილქ ბანკი</v>
      </c>
    </row>
    <row r="2" spans="1:4" s="19" customFormat="1" ht="15.75" customHeight="1" x14ac:dyDescent="0.3">
      <c r="A2" s="19" t="s">
        <v>45</v>
      </c>
      <c r="B2" s="215">
        <f>'1. key ratios'!B2</f>
        <v>46112</v>
      </c>
    </row>
    <row r="3" spans="1:4" s="19" customFormat="1" ht="15.75" customHeight="1" x14ac:dyDescent="0.3"/>
    <row r="4" spans="1:4" ht="14.4" thickBot="1" x14ac:dyDescent="0.35">
      <c r="A4" s="18" t="s">
        <v>349</v>
      </c>
      <c r="B4" s="270" t="s">
        <v>22</v>
      </c>
    </row>
    <row r="5" spans="1:4" s="236" customFormat="1" x14ac:dyDescent="0.3">
      <c r="A5" s="822" t="s">
        <v>350</v>
      </c>
      <c r="B5" s="823"/>
      <c r="C5" s="271" t="s">
        <v>351</v>
      </c>
      <c r="D5" s="272" t="s">
        <v>352</v>
      </c>
    </row>
    <row r="6" spans="1:4" s="276" customFormat="1" x14ac:dyDescent="0.3">
      <c r="A6" s="273">
        <v>1</v>
      </c>
      <c r="B6" s="274" t="s">
        <v>353</v>
      </c>
      <c r="C6" s="274"/>
      <c r="D6" s="275"/>
    </row>
    <row r="7" spans="1:4" s="276" customFormat="1" x14ac:dyDescent="0.3">
      <c r="A7" s="277" t="s">
        <v>354</v>
      </c>
      <c r="B7" s="278" t="s">
        <v>355</v>
      </c>
      <c r="C7" s="279">
        <v>4.4999999999999998E-2</v>
      </c>
      <c r="D7" s="280">
        <f>C7*'5. RWA'!$C$13</f>
        <v>7602801.6047655568</v>
      </c>
    </row>
    <row r="8" spans="1:4" s="276" customFormat="1" x14ac:dyDescent="0.3">
      <c r="A8" s="277" t="s">
        <v>356</v>
      </c>
      <c r="B8" s="278" t="s">
        <v>357</v>
      </c>
      <c r="C8" s="281">
        <v>0.06</v>
      </c>
      <c r="D8" s="280">
        <f>C8*'5. RWA'!$C$13</f>
        <v>10137068.806354076</v>
      </c>
    </row>
    <row r="9" spans="1:4" s="276" customFormat="1" x14ac:dyDescent="0.3">
      <c r="A9" s="277" t="s">
        <v>358</v>
      </c>
      <c r="B9" s="278" t="s">
        <v>359</v>
      </c>
      <c r="C9" s="281">
        <v>0.08</v>
      </c>
      <c r="D9" s="280">
        <f>C9*'5. RWA'!$C$13</f>
        <v>13516091.741805434</v>
      </c>
    </row>
    <row r="10" spans="1:4" s="276" customFormat="1" x14ac:dyDescent="0.3">
      <c r="A10" s="273" t="s">
        <v>360</v>
      </c>
      <c r="B10" s="274" t="s">
        <v>361</v>
      </c>
      <c r="C10" s="282"/>
      <c r="D10" s="283"/>
    </row>
    <row r="11" spans="1:4" s="288" customFormat="1" x14ac:dyDescent="0.3">
      <c r="A11" s="284" t="s">
        <v>362</v>
      </c>
      <c r="B11" s="285" t="s">
        <v>363</v>
      </c>
      <c r="C11" s="286">
        <v>2.5000000000000001E-2</v>
      </c>
      <c r="D11" s="287">
        <f>C11*'5. RWA'!$C$13</f>
        <v>4223778.6693141982</v>
      </c>
    </row>
    <row r="12" spans="1:4" s="288" customFormat="1" x14ac:dyDescent="0.3">
      <c r="A12" s="284" t="s">
        <v>364</v>
      </c>
      <c r="B12" s="285" t="s">
        <v>365</v>
      </c>
      <c r="C12" s="286">
        <v>7.4999999999999997E-3</v>
      </c>
      <c r="D12" s="287">
        <f>C12*'5. RWA'!$C$13</f>
        <v>1267133.6007942595</v>
      </c>
    </row>
    <row r="13" spans="1:4" s="288" customFormat="1" x14ac:dyDescent="0.3">
      <c r="A13" s="284" t="s">
        <v>366</v>
      </c>
      <c r="B13" s="285" t="s">
        <v>367</v>
      </c>
      <c r="C13" s="286">
        <v>0</v>
      </c>
      <c r="D13" s="287">
        <f>C13*'5. RWA'!$C$13</f>
        <v>0</v>
      </c>
    </row>
    <row r="14" spans="1:4" s="276" customFormat="1" x14ac:dyDescent="0.3">
      <c r="A14" s="273" t="s">
        <v>368</v>
      </c>
      <c r="B14" s="274" t="s">
        <v>369</v>
      </c>
      <c r="C14" s="289"/>
      <c r="D14" s="283"/>
    </row>
    <row r="15" spans="1:4" s="276" customFormat="1" x14ac:dyDescent="0.3">
      <c r="A15" s="290" t="s">
        <v>370</v>
      </c>
      <c r="B15" s="285" t="s">
        <v>371</v>
      </c>
      <c r="C15" s="286">
        <v>6.4761847732815389E-2</v>
      </c>
      <c r="D15" s="291">
        <f>C15*'5. RWA'!$C$13</f>
        <v>10941588.441569589</v>
      </c>
    </row>
    <row r="16" spans="1:4" s="276" customFormat="1" x14ac:dyDescent="0.3">
      <c r="A16" s="290" t="s">
        <v>372</v>
      </c>
      <c r="B16" s="285" t="s">
        <v>373</v>
      </c>
      <c r="C16" s="286">
        <v>7.6870639372233623E-2</v>
      </c>
      <c r="D16" s="291">
        <f>C16*'5. RWA'!$C$13</f>
        <v>12987382.675079381</v>
      </c>
    </row>
    <row r="17" spans="1:4" s="276" customFormat="1" x14ac:dyDescent="0.3">
      <c r="A17" s="290" t="s">
        <v>374</v>
      </c>
      <c r="B17" s="285" t="s">
        <v>375</v>
      </c>
      <c r="C17" s="286">
        <v>9.2803259950415495E-2</v>
      </c>
      <c r="D17" s="291">
        <f>C17*'5. RWA'!$C$13</f>
        <v>15679217.192855423</v>
      </c>
    </row>
    <row r="18" spans="1:4" s="236" customFormat="1" x14ac:dyDescent="0.3">
      <c r="A18" s="824" t="s">
        <v>376</v>
      </c>
      <c r="B18" s="825"/>
      <c r="C18" s="292" t="s">
        <v>351</v>
      </c>
      <c r="D18" s="293" t="s">
        <v>352</v>
      </c>
    </row>
    <row r="19" spans="1:4" s="276" customFormat="1" x14ac:dyDescent="0.3">
      <c r="A19" s="294">
        <v>4</v>
      </c>
      <c r="B19" s="285" t="s">
        <v>51</v>
      </c>
      <c r="C19" s="286">
        <f>C7+C11+C12+C13+C15</f>
        <v>0.14226184773281542</v>
      </c>
      <c r="D19" s="295">
        <f>C19*'5. RWA'!$C$13</f>
        <v>24035302.316443607</v>
      </c>
    </row>
    <row r="20" spans="1:4" s="276" customFormat="1" x14ac:dyDescent="0.3">
      <c r="A20" s="294">
        <v>5</v>
      </c>
      <c r="B20" s="285" t="s">
        <v>52</v>
      </c>
      <c r="C20" s="286">
        <f>C8+C11+C12+C13+C16</f>
        <v>0.16937063937223362</v>
      </c>
      <c r="D20" s="295">
        <f>C20*'5. RWA'!$C$13</f>
        <v>28615363.751541916</v>
      </c>
    </row>
    <row r="21" spans="1:4" s="276" customFormat="1" ht="14.4" thickBot="1" x14ac:dyDescent="0.35">
      <c r="A21" s="296" t="s">
        <v>377</v>
      </c>
      <c r="B21" s="297" t="s">
        <v>20</v>
      </c>
      <c r="C21" s="298">
        <f>C9+C11+C12+C13+C17</f>
        <v>0.20530325995041551</v>
      </c>
      <c r="D21" s="299">
        <f>C21*'5. RWA'!$C$13</f>
        <v>34686221.204769321</v>
      </c>
    </row>
    <row r="23" spans="1:4" x14ac:dyDescent="0.3">
      <c r="B23" s="87"/>
    </row>
  </sheetData>
  <mergeCells count="2">
    <mergeCell ref="A5:B5"/>
    <mergeCell ref="A18:B18"/>
  </mergeCells>
  <conditionalFormatting sqref="C21">
    <cfRule type="cellIs" dxfId="28"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F7B76-E307-4A2E-B61B-43CAD5FF2EFB}">
  <sheetPr>
    <tabColor theme="2" tint="-9.9978637043366805E-2"/>
  </sheetPr>
  <dimension ref="A1:E27"/>
  <sheetViews>
    <sheetView showGridLines="0" zoomScaleNormal="100" workbookViewId="0">
      <selection activeCell="C21" sqref="C21"/>
    </sheetView>
  </sheetViews>
  <sheetFormatPr defaultRowHeight="14.4" x14ac:dyDescent="0.3"/>
  <cols>
    <col min="1" max="1" width="107.109375" bestFit="1" customWidth="1"/>
    <col min="2" max="2" width="50.88671875" bestFit="1" customWidth="1"/>
    <col min="3" max="3" width="28.109375" bestFit="1" customWidth="1"/>
    <col min="4" max="4" width="28.33203125" customWidth="1"/>
    <col min="5" max="7" width="28.109375" customWidth="1"/>
  </cols>
  <sheetData>
    <row r="1" spans="1:2" x14ac:dyDescent="0.3">
      <c r="A1" s="300" t="s">
        <v>44</v>
      </c>
      <c r="B1" s="21" t="str">
        <f>Info!C2</f>
        <v>სს სილქ ბანკი</v>
      </c>
    </row>
    <row r="2" spans="1:2" x14ac:dyDescent="0.3">
      <c r="A2" s="300" t="s">
        <v>45</v>
      </c>
      <c r="B2" s="215">
        <f>'1. key ratios'!B2</f>
        <v>46112</v>
      </c>
    </row>
    <row r="3" spans="1:2" x14ac:dyDescent="0.3">
      <c r="A3" s="301" t="s">
        <v>378</v>
      </c>
      <c r="B3" s="302" t="s">
        <v>379</v>
      </c>
    </row>
    <row r="4" spans="1:2" ht="15" thickBot="1" x14ac:dyDescent="0.35"/>
    <row r="5" spans="1:2" x14ac:dyDescent="0.3">
      <c r="A5" s="303"/>
      <c r="B5" s="304" t="s">
        <v>380</v>
      </c>
    </row>
    <row r="6" spans="1:2" x14ac:dyDescent="0.3">
      <c r="A6" s="305" t="s">
        <v>381</v>
      </c>
      <c r="B6" s="306">
        <f>SUM(B7,B11)</f>
        <v>0</v>
      </c>
    </row>
    <row r="7" spans="1:2" ht="15.6" x14ac:dyDescent="0.3">
      <c r="A7" s="305" t="s">
        <v>382</v>
      </c>
      <c r="B7" s="306">
        <f>SUM(B8:B10)</f>
        <v>0</v>
      </c>
    </row>
    <row r="8" spans="1:2" x14ac:dyDescent="0.3">
      <c r="A8" s="307" t="s">
        <v>383</v>
      </c>
      <c r="B8" s="308"/>
    </row>
    <row r="9" spans="1:2" x14ac:dyDescent="0.3">
      <c r="A9" s="307" t="s">
        <v>384</v>
      </c>
      <c r="B9" s="308"/>
    </row>
    <row r="10" spans="1:2" x14ac:dyDescent="0.3">
      <c r="A10" s="307" t="s">
        <v>385</v>
      </c>
      <c r="B10" s="308"/>
    </row>
    <row r="11" spans="1:2" x14ac:dyDescent="0.3">
      <c r="A11" s="305" t="s">
        <v>386</v>
      </c>
      <c r="B11" s="306">
        <f>SUM(B12:B13)</f>
        <v>0</v>
      </c>
    </row>
    <row r="12" spans="1:2" ht="15.6" x14ac:dyDescent="0.3">
      <c r="A12" s="307" t="s">
        <v>387</v>
      </c>
      <c r="B12" s="308"/>
    </row>
    <row r="13" spans="1:2" ht="15.6" x14ac:dyDescent="0.3">
      <c r="A13" s="307" t="s">
        <v>388</v>
      </c>
      <c r="B13" s="308"/>
    </row>
    <row r="14" spans="1:2" x14ac:dyDescent="0.3">
      <c r="A14" s="305" t="s">
        <v>389</v>
      </c>
      <c r="B14" s="306">
        <f>SUM(B15:B16)</f>
        <v>0</v>
      </c>
    </row>
    <row r="15" spans="1:2" x14ac:dyDescent="0.3">
      <c r="A15" s="309" t="s">
        <v>390</v>
      </c>
      <c r="B15" s="308"/>
    </row>
    <row r="16" spans="1:2" x14ac:dyDescent="0.3">
      <c r="A16" s="309" t="s">
        <v>20</v>
      </c>
      <c r="B16" s="308">
        <f>B7</f>
        <v>0</v>
      </c>
    </row>
    <row r="17" spans="1:5" x14ac:dyDescent="0.3">
      <c r="A17" s="305" t="s">
        <v>391</v>
      </c>
      <c r="B17" s="306"/>
    </row>
    <row r="18" spans="1:5" x14ac:dyDescent="0.3">
      <c r="A18" s="309" t="s">
        <v>392</v>
      </c>
      <c r="B18" s="308"/>
    </row>
    <row r="19" spans="1:5" x14ac:dyDescent="0.3">
      <c r="A19" s="309" t="s">
        <v>393</v>
      </c>
      <c r="B19" s="308">
        <f>'15.1. LR'!C36</f>
        <v>0</v>
      </c>
    </row>
    <row r="20" spans="1:5" x14ac:dyDescent="0.3">
      <c r="A20" s="305" t="s">
        <v>394</v>
      </c>
      <c r="B20" s="306"/>
    </row>
    <row r="21" spans="1:5" x14ac:dyDescent="0.3">
      <c r="A21" s="310" t="s">
        <v>395</v>
      </c>
      <c r="B21" s="311">
        <f>IFERROR(B6/B18,0)</f>
        <v>0</v>
      </c>
    </row>
    <row r="22" spans="1:5" x14ac:dyDescent="0.3">
      <c r="A22" s="310" t="s">
        <v>396</v>
      </c>
      <c r="B22" s="311">
        <f>IFERROR(B6/B19,0)</f>
        <v>0</v>
      </c>
    </row>
    <row r="23" spans="1:5" ht="15" thickBot="1" x14ac:dyDescent="0.35">
      <c r="A23" s="312" t="s">
        <v>397</v>
      </c>
      <c r="B23" s="313">
        <f>IFERROR(B6/B14,0)</f>
        <v>0</v>
      </c>
    </row>
    <row r="24" spans="1:5" ht="16.5" customHeight="1" x14ac:dyDescent="0.3">
      <c r="A24" s="314" t="s">
        <v>398</v>
      </c>
      <c r="B24" s="315"/>
      <c r="C24" s="315"/>
      <c r="D24" s="315"/>
      <c r="E24" s="315"/>
    </row>
    <row r="25" spans="1:5" ht="25.5" customHeight="1" x14ac:dyDescent="0.3">
      <c r="A25" s="314" t="s">
        <v>399</v>
      </c>
    </row>
    <row r="26" spans="1:5" ht="57" customHeight="1" x14ac:dyDescent="0.3">
      <c r="A26" s="314" t="s">
        <v>400</v>
      </c>
    </row>
    <row r="27" spans="1:5" x14ac:dyDescent="0.3">
      <c r="A27" s="316"/>
    </row>
  </sheetData>
  <pageMargins left="0.7" right="0.7" top="0.75" bottom="0.75" header="0.3" footer="0.3"/>
  <pageSetup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E56B-D34F-4867-A884-CF438C7911D2}">
  <sheetPr>
    <tabColor theme="2" tint="-9.9978637043366805E-2"/>
  </sheetPr>
  <dimension ref="A1:F20"/>
  <sheetViews>
    <sheetView showGridLines="0" zoomScaleNormal="100" workbookViewId="0">
      <selection activeCell="B15" sqref="B15:C15"/>
    </sheetView>
  </sheetViews>
  <sheetFormatPr defaultRowHeight="14.4" x14ac:dyDescent="0.3"/>
  <cols>
    <col min="1" max="1" width="82" customWidth="1"/>
    <col min="2" max="2" width="28.109375" bestFit="1" customWidth="1"/>
    <col min="3" max="3" width="28.33203125" customWidth="1"/>
    <col min="4" max="6" width="28.109375" customWidth="1"/>
  </cols>
  <sheetData>
    <row r="1" spans="1:6" x14ac:dyDescent="0.3">
      <c r="A1" s="300" t="s">
        <v>44</v>
      </c>
      <c r="B1" s="21" t="str">
        <f>Info!C2</f>
        <v>სს სილქ ბანკი</v>
      </c>
      <c r="C1" s="18"/>
    </row>
    <row r="2" spans="1:6" x14ac:dyDescent="0.3">
      <c r="A2" s="300" t="s">
        <v>45</v>
      </c>
      <c r="B2" s="215">
        <f>'1. key ratios'!B2</f>
        <v>46112</v>
      </c>
      <c r="C2" s="18"/>
    </row>
    <row r="3" spans="1:6" x14ac:dyDescent="0.3">
      <c r="A3" s="301" t="s">
        <v>401</v>
      </c>
      <c r="B3" s="302" t="s">
        <v>379</v>
      </c>
      <c r="C3" s="18"/>
    </row>
    <row r="5" spans="1:6" x14ac:dyDescent="0.3">
      <c r="A5" s="316"/>
    </row>
    <row r="6" spans="1:6" ht="15" thickBot="1" x14ac:dyDescent="0.35">
      <c r="A6" s="317"/>
      <c r="B6" s="317"/>
      <c r="C6" s="317"/>
      <c r="D6" s="317"/>
      <c r="E6" s="317"/>
      <c r="F6" s="317"/>
    </row>
    <row r="7" spans="1:6" x14ac:dyDescent="0.3">
      <c r="A7" s="826"/>
      <c r="B7" s="828" t="s">
        <v>402</v>
      </c>
      <c r="C7" s="828"/>
      <c r="D7" s="828"/>
      <c r="E7" s="828"/>
      <c r="F7" s="829" t="s">
        <v>403</v>
      </c>
    </row>
    <row r="8" spans="1:6" ht="27.6" x14ac:dyDescent="0.3">
      <c r="A8" s="827"/>
      <c r="B8" s="318" t="s">
        <v>404</v>
      </c>
      <c r="C8" s="318" t="s">
        <v>405</v>
      </c>
      <c r="D8" s="318" t="s">
        <v>406</v>
      </c>
      <c r="E8" s="318" t="s">
        <v>407</v>
      </c>
      <c r="F8" s="830"/>
    </row>
    <row r="9" spans="1:6" x14ac:dyDescent="0.3">
      <c r="A9" s="319" t="s">
        <v>408</v>
      </c>
      <c r="B9" s="320">
        <f>B13+B17</f>
        <v>0</v>
      </c>
      <c r="C9" s="320">
        <f t="shared" ref="C9:E9" si="0">C13+C17</f>
        <v>0</v>
      </c>
      <c r="D9" s="320">
        <f t="shared" si="0"/>
        <v>0</v>
      </c>
      <c r="E9" s="320">
        <f t="shared" si="0"/>
        <v>0</v>
      </c>
      <c r="F9" s="321">
        <f>F13+F17</f>
        <v>0</v>
      </c>
    </row>
    <row r="10" spans="1:6" x14ac:dyDescent="0.3">
      <c r="A10" s="322" t="s">
        <v>409</v>
      </c>
      <c r="B10" s="323">
        <f t="shared" ref="B10:E12" si="1">B14+B18</f>
        <v>0</v>
      </c>
      <c r="C10" s="323">
        <f t="shared" si="1"/>
        <v>0</v>
      </c>
      <c r="D10" s="323">
        <f t="shared" si="1"/>
        <v>0</v>
      </c>
      <c r="E10" s="323">
        <f t="shared" si="1"/>
        <v>0</v>
      </c>
      <c r="F10" s="321">
        <f>SUM(B10:E10)</f>
        <v>0</v>
      </c>
    </row>
    <row r="11" spans="1:6" x14ac:dyDescent="0.3">
      <c r="A11" s="322" t="s">
        <v>410</v>
      </c>
      <c r="B11" s="323">
        <f t="shared" si="1"/>
        <v>0</v>
      </c>
      <c r="C11" s="323">
        <f t="shared" si="1"/>
        <v>0</v>
      </c>
      <c r="D11" s="323">
        <f t="shared" si="1"/>
        <v>0</v>
      </c>
      <c r="E11" s="323">
        <f t="shared" si="1"/>
        <v>0</v>
      </c>
      <c r="F11" s="321">
        <f t="shared" ref="F11:F12" si="2">SUM(B11:E11)</f>
        <v>0</v>
      </c>
    </row>
    <row r="12" spans="1:6" x14ac:dyDescent="0.3">
      <c r="A12" s="324" t="s">
        <v>411</v>
      </c>
      <c r="B12" s="323">
        <f t="shared" si="1"/>
        <v>0</v>
      </c>
      <c r="C12" s="323">
        <f t="shared" si="1"/>
        <v>0</v>
      </c>
      <c r="D12" s="323">
        <f t="shared" si="1"/>
        <v>0</v>
      </c>
      <c r="E12" s="323">
        <f t="shared" si="1"/>
        <v>0</v>
      </c>
      <c r="F12" s="321">
        <f t="shared" si="2"/>
        <v>0</v>
      </c>
    </row>
    <row r="13" spans="1:6" x14ac:dyDescent="0.3">
      <c r="A13" s="325" t="s">
        <v>412</v>
      </c>
      <c r="B13" s="326"/>
      <c r="C13" s="326"/>
      <c r="D13" s="326"/>
      <c r="E13" s="326"/>
      <c r="F13" s="327"/>
    </row>
    <row r="14" spans="1:6" x14ac:dyDescent="0.3">
      <c r="A14" s="322" t="s">
        <v>409</v>
      </c>
      <c r="B14" s="328"/>
      <c r="C14" s="328"/>
      <c r="D14" s="328"/>
      <c r="E14" s="328"/>
      <c r="F14" s="329"/>
    </row>
    <row r="15" spans="1:6" x14ac:dyDescent="0.3">
      <c r="A15" s="322" t="s">
        <v>410</v>
      </c>
      <c r="B15" s="328"/>
      <c r="C15" s="328"/>
      <c r="D15" s="328"/>
      <c r="E15" s="328"/>
      <c r="F15" s="329"/>
    </row>
    <row r="16" spans="1:6" x14ac:dyDescent="0.3">
      <c r="A16" s="324" t="s">
        <v>411</v>
      </c>
      <c r="B16" s="328"/>
      <c r="C16" s="328"/>
      <c r="D16" s="328"/>
      <c r="E16" s="328"/>
      <c r="F16" s="329"/>
    </row>
    <row r="17" spans="1:6" x14ac:dyDescent="0.3">
      <c r="A17" s="325" t="s">
        <v>386</v>
      </c>
      <c r="B17" s="326"/>
      <c r="C17" s="326"/>
      <c r="D17" s="326"/>
      <c r="E17" s="326"/>
      <c r="F17" s="329"/>
    </row>
    <row r="18" spans="1:6" x14ac:dyDescent="0.3">
      <c r="A18" s="322" t="s">
        <v>409</v>
      </c>
      <c r="B18" s="328"/>
      <c r="C18" s="328"/>
      <c r="D18" s="328"/>
      <c r="E18" s="328"/>
      <c r="F18" s="329"/>
    </row>
    <row r="19" spans="1:6" x14ac:dyDescent="0.3">
      <c r="A19" s="322" t="s">
        <v>410</v>
      </c>
      <c r="B19" s="328"/>
      <c r="C19" s="328"/>
      <c r="D19" s="328"/>
      <c r="E19" s="328"/>
      <c r="F19" s="329"/>
    </row>
    <row r="20" spans="1:6" ht="15" thickBot="1" x14ac:dyDescent="0.35">
      <c r="A20" s="330" t="s">
        <v>411</v>
      </c>
      <c r="B20" s="331"/>
      <c r="C20" s="331"/>
      <c r="D20" s="331"/>
      <c r="E20" s="331"/>
      <c r="F20" s="332"/>
    </row>
  </sheetData>
  <mergeCells count="3">
    <mergeCell ref="A7:A8"/>
    <mergeCell ref="B7:E7"/>
    <mergeCell ref="F7:F8"/>
  </mergeCells>
  <pageMargins left="0.7" right="0.7" top="0.75" bottom="0.75" header="0.3" footer="0.3"/>
  <pageSetup orientation="portrait" horizontalDpi="4294967292"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5DD7F-75BD-4B5E-915C-D2C481988371}">
  <sheetPr>
    <tabColor theme="2" tint="-9.9978637043366805E-2"/>
  </sheetPr>
  <dimension ref="A1:F71"/>
  <sheetViews>
    <sheetView zoomScale="80" zoomScaleNormal="80" workbookViewId="0">
      <pane xSplit="1" ySplit="5" topLeftCell="B19" activePane="bottomRight" state="frozen"/>
      <selection activeCell="B15" sqref="B15:C15"/>
      <selection pane="topRight" activeCell="B15" sqref="B15:C15"/>
      <selection pane="bottomLeft" activeCell="B15" sqref="B15:C15"/>
      <selection pane="bottomRight" activeCell="F28" sqref="F28"/>
    </sheetView>
  </sheetViews>
  <sheetFormatPr defaultRowHeight="14.4" x14ac:dyDescent="0.3"/>
  <cols>
    <col min="1" max="1" width="10.6640625" style="333" customWidth="1"/>
    <col min="2" max="2" width="91.6640625" style="333" customWidth="1"/>
    <col min="3" max="3" width="53.33203125" style="333" customWidth="1"/>
    <col min="4" max="4" width="32.33203125" style="333" customWidth="1"/>
    <col min="5" max="5" width="9.44140625" customWidth="1"/>
    <col min="6" max="6" width="14.44140625" customWidth="1"/>
  </cols>
  <sheetData>
    <row r="1" spans="1:6" x14ac:dyDescent="0.3">
      <c r="A1" s="19" t="s">
        <v>44</v>
      </c>
      <c r="B1" s="86" t="str">
        <f>Info!C2</f>
        <v>სს სილქ ბანკი</v>
      </c>
      <c r="E1" s="18"/>
      <c r="F1" s="18"/>
    </row>
    <row r="2" spans="1:6" s="19" customFormat="1" ht="15.75" customHeight="1" x14ac:dyDescent="0.3">
      <c r="A2" s="19" t="s">
        <v>45</v>
      </c>
      <c r="B2" s="22">
        <f>'1. key ratios'!B2</f>
        <v>46112</v>
      </c>
    </row>
    <row r="3" spans="1:6" s="19" customFormat="1" ht="15.75" customHeight="1" x14ac:dyDescent="0.3">
      <c r="A3" s="334"/>
    </row>
    <row r="4" spans="1:6" s="19" customFormat="1" ht="15.75" customHeight="1" thickBot="1" x14ac:dyDescent="0.35">
      <c r="A4" s="19" t="s">
        <v>413</v>
      </c>
      <c r="B4" s="335" t="s">
        <v>25</v>
      </c>
      <c r="D4" s="336" t="s">
        <v>239</v>
      </c>
    </row>
    <row r="5" spans="1:6" ht="27.6" x14ac:dyDescent="0.3">
      <c r="A5" s="337" t="s">
        <v>48</v>
      </c>
      <c r="B5" s="338" t="s">
        <v>289</v>
      </c>
      <c r="C5" s="339" t="s">
        <v>414</v>
      </c>
      <c r="D5" s="340" t="s">
        <v>415</v>
      </c>
    </row>
    <row r="6" spans="1:6" x14ac:dyDescent="0.3">
      <c r="A6" s="92">
        <v>1</v>
      </c>
      <c r="B6" s="93" t="s">
        <v>98</v>
      </c>
      <c r="C6" s="341">
        <f>SUM(C7:C9)</f>
        <v>40077812.810000017</v>
      </c>
      <c r="D6" s="342"/>
      <c r="E6" s="343"/>
    </row>
    <row r="7" spans="1:6" x14ac:dyDescent="0.3">
      <c r="A7" s="92">
        <v>1.1000000000000001</v>
      </c>
      <c r="B7" s="94" t="s">
        <v>99</v>
      </c>
      <c r="C7" s="344">
        <f>'7. LI1'!E9</f>
        <v>3043698.5599999996</v>
      </c>
      <c r="D7" s="345"/>
      <c r="E7" s="343"/>
    </row>
    <row r="8" spans="1:6" x14ac:dyDescent="0.3">
      <c r="A8" s="92">
        <v>1.2</v>
      </c>
      <c r="B8" s="94" t="s">
        <v>100</v>
      </c>
      <c r="C8" s="344">
        <f>'7. LI1'!E10</f>
        <v>3077954.3800000106</v>
      </c>
      <c r="D8" s="345"/>
      <c r="E8" s="343"/>
    </row>
    <row r="9" spans="1:6" x14ac:dyDescent="0.3">
      <c r="A9" s="92">
        <v>1.3</v>
      </c>
      <c r="B9" s="94" t="s">
        <v>101</v>
      </c>
      <c r="C9" s="344">
        <f>'7. LI1'!E11</f>
        <v>33956159.870000005</v>
      </c>
      <c r="D9" s="345"/>
      <c r="E9" s="343"/>
    </row>
    <row r="10" spans="1:6" x14ac:dyDescent="0.3">
      <c r="A10" s="92">
        <v>2</v>
      </c>
      <c r="B10" s="97" t="s">
        <v>102</v>
      </c>
      <c r="C10" s="344">
        <f>'7. LI1'!E12</f>
        <v>318758</v>
      </c>
      <c r="D10" s="345"/>
      <c r="E10" s="343"/>
    </row>
    <row r="11" spans="1:6" x14ac:dyDescent="0.3">
      <c r="A11" s="92">
        <v>2.1</v>
      </c>
      <c r="B11" s="98" t="s">
        <v>103</v>
      </c>
      <c r="C11" s="344">
        <f>'7. LI1'!E13</f>
        <v>318758</v>
      </c>
      <c r="D11" s="346"/>
      <c r="E11" s="347"/>
    </row>
    <row r="12" spans="1:6" ht="23.7" customHeight="1" x14ac:dyDescent="0.3">
      <c r="A12" s="92">
        <v>3</v>
      </c>
      <c r="B12" s="99" t="s">
        <v>104</v>
      </c>
      <c r="C12" s="344">
        <f>'7. LI1'!E14</f>
        <v>0</v>
      </c>
      <c r="D12" s="346"/>
      <c r="E12" s="347"/>
    </row>
    <row r="13" spans="1:6" ht="22.95" customHeight="1" x14ac:dyDescent="0.3">
      <c r="A13" s="92">
        <v>4</v>
      </c>
      <c r="B13" s="100" t="s">
        <v>105</v>
      </c>
      <c r="C13" s="344">
        <f>'7. LI1'!E15</f>
        <v>0</v>
      </c>
      <c r="D13" s="346"/>
      <c r="E13" s="347"/>
    </row>
    <row r="14" spans="1:6" x14ac:dyDescent="0.3">
      <c r="A14" s="92">
        <v>5</v>
      </c>
      <c r="B14" s="100" t="s">
        <v>106</v>
      </c>
      <c r="C14" s="348">
        <f>SUM(C15:C17)</f>
        <v>20000</v>
      </c>
      <c r="D14" s="346"/>
      <c r="E14" s="347"/>
    </row>
    <row r="15" spans="1:6" x14ac:dyDescent="0.3">
      <c r="A15" s="92">
        <v>5.0999999999999996</v>
      </c>
      <c r="B15" s="101" t="s">
        <v>107</v>
      </c>
      <c r="C15" s="344">
        <f>'7. LI1'!E17</f>
        <v>20000</v>
      </c>
      <c r="D15" s="346"/>
      <c r="E15" s="343"/>
    </row>
    <row r="16" spans="1:6" x14ac:dyDescent="0.3">
      <c r="A16" s="92">
        <v>5.2</v>
      </c>
      <c r="B16" s="101" t="s">
        <v>108</v>
      </c>
      <c r="C16" s="344">
        <f>'7. LI1'!E18</f>
        <v>0</v>
      </c>
      <c r="D16" s="345"/>
      <c r="E16" s="343"/>
    </row>
    <row r="17" spans="1:6" x14ac:dyDescent="0.3">
      <c r="A17" s="92">
        <v>5.3</v>
      </c>
      <c r="B17" s="101" t="s">
        <v>109</v>
      </c>
      <c r="C17" s="344">
        <f>'7. LI1'!E19</f>
        <v>0</v>
      </c>
      <c r="D17" s="345"/>
      <c r="E17" s="343"/>
    </row>
    <row r="18" spans="1:6" x14ac:dyDescent="0.3">
      <c r="A18" s="92">
        <v>6</v>
      </c>
      <c r="B18" s="99" t="s">
        <v>110</v>
      </c>
      <c r="C18" s="349">
        <f>SUM(C19:C20)</f>
        <v>150543500.61977917</v>
      </c>
      <c r="D18" s="345"/>
      <c r="E18" s="343"/>
    </row>
    <row r="19" spans="1:6" x14ac:dyDescent="0.3">
      <c r="A19" s="92">
        <v>6.1</v>
      </c>
      <c r="B19" s="101" t="s">
        <v>108</v>
      </c>
      <c r="C19" s="350">
        <f>'7. LI1'!C21</f>
        <v>16988852.280861448</v>
      </c>
      <c r="D19" s="345"/>
      <c r="E19" s="343"/>
    </row>
    <row r="20" spans="1:6" x14ac:dyDescent="0.3">
      <c r="A20" s="92">
        <v>6.2</v>
      </c>
      <c r="B20" s="101" t="s">
        <v>109</v>
      </c>
      <c r="C20" s="350">
        <f>'7. LI1'!C22</f>
        <v>133554648.33891773</v>
      </c>
      <c r="D20" s="345"/>
      <c r="E20" s="343"/>
    </row>
    <row r="21" spans="1:6" x14ac:dyDescent="0.3">
      <c r="A21" s="92">
        <v>7</v>
      </c>
      <c r="B21" s="102" t="s">
        <v>111</v>
      </c>
      <c r="C21" s="348"/>
      <c r="D21" s="345"/>
      <c r="E21" s="343"/>
    </row>
    <row r="22" spans="1:6" x14ac:dyDescent="0.3">
      <c r="A22" s="92">
        <v>8</v>
      </c>
      <c r="B22" s="103" t="s">
        <v>112</v>
      </c>
      <c r="C22" s="349">
        <f>'7. LI1'!E24</f>
        <v>3353967.77110318</v>
      </c>
      <c r="D22" s="345"/>
      <c r="E22" s="343"/>
    </row>
    <row r="23" spans="1:6" x14ac:dyDescent="0.3">
      <c r="A23" s="92">
        <v>9</v>
      </c>
      <c r="B23" s="100" t="s">
        <v>113</v>
      </c>
      <c r="C23" s="349">
        <f>SUM(C24:C25)</f>
        <v>17379909.298788853</v>
      </c>
      <c r="D23" s="351"/>
      <c r="E23" s="343"/>
    </row>
    <row r="24" spans="1:6" x14ac:dyDescent="0.3">
      <c r="A24" s="92">
        <v>9.1</v>
      </c>
      <c r="B24" s="104" t="s">
        <v>114</v>
      </c>
      <c r="C24" s="352">
        <f>'7. LI1'!E26</f>
        <v>17379909.298788853</v>
      </c>
      <c r="D24" s="353"/>
      <c r="E24" s="343"/>
    </row>
    <row r="25" spans="1:6" x14ac:dyDescent="0.3">
      <c r="A25" s="92">
        <v>9.1999999999999993</v>
      </c>
      <c r="B25" s="104" t="s">
        <v>115</v>
      </c>
      <c r="C25" s="352">
        <f>'7. LI1'!E27</f>
        <v>0</v>
      </c>
      <c r="D25" s="354"/>
      <c r="E25" s="355"/>
    </row>
    <row r="26" spans="1:6" x14ac:dyDescent="0.3">
      <c r="A26" s="92">
        <v>10</v>
      </c>
      <c r="B26" s="100" t="s">
        <v>116</v>
      </c>
      <c r="C26" s="356">
        <f>SUM(C27:C28)</f>
        <v>12738280.079999996</v>
      </c>
      <c r="D26" s="357" t="s">
        <v>416</v>
      </c>
      <c r="E26" s="343"/>
      <c r="F26" s="751"/>
    </row>
    <row r="27" spans="1:6" x14ac:dyDescent="0.3">
      <c r="A27" s="92">
        <v>10.1</v>
      </c>
      <c r="B27" s="104" t="s">
        <v>117</v>
      </c>
      <c r="C27" s="344">
        <f>'7. LI1'!C29</f>
        <v>0</v>
      </c>
      <c r="D27" s="345"/>
      <c r="E27" s="343"/>
    </row>
    <row r="28" spans="1:6" x14ac:dyDescent="0.3">
      <c r="A28" s="92">
        <v>10.199999999999999</v>
      </c>
      <c r="B28" s="104" t="s">
        <v>118</v>
      </c>
      <c r="C28" s="344">
        <f>'7. LI1'!C30</f>
        <v>12738280.079999996</v>
      </c>
      <c r="D28" s="345"/>
      <c r="E28" s="343"/>
    </row>
    <row r="29" spans="1:6" x14ac:dyDescent="0.3">
      <c r="A29" s="92">
        <v>11</v>
      </c>
      <c r="B29" s="100" t="s">
        <v>119</v>
      </c>
      <c r="C29" s="349">
        <f>SUM(C30:C31)</f>
        <v>2911052.4940089369</v>
      </c>
      <c r="D29" s="345"/>
      <c r="E29" s="343"/>
    </row>
    <row r="30" spans="1:6" x14ac:dyDescent="0.3">
      <c r="A30" s="92">
        <v>11.1</v>
      </c>
      <c r="B30" s="104" t="s">
        <v>120</v>
      </c>
      <c r="C30" s="344">
        <f>'7. LI1'!C32</f>
        <v>45248.5</v>
      </c>
      <c r="D30" s="345"/>
      <c r="E30" s="343"/>
    </row>
    <row r="31" spans="1:6" x14ac:dyDescent="0.3">
      <c r="A31" s="92">
        <v>11.2</v>
      </c>
      <c r="B31" s="104" t="s">
        <v>121</v>
      </c>
      <c r="C31" s="344">
        <f>'7. LI1'!C33</f>
        <v>2865803.9940089369</v>
      </c>
      <c r="D31" s="357" t="s">
        <v>1039</v>
      </c>
      <c r="E31" s="343"/>
    </row>
    <row r="32" spans="1:6" x14ac:dyDescent="0.3">
      <c r="A32" s="92">
        <v>13</v>
      </c>
      <c r="B32" s="100" t="s">
        <v>122</v>
      </c>
      <c r="C32" s="344">
        <f>'7. LI1'!C34</f>
        <v>16027999.227750009</v>
      </c>
      <c r="D32" s="345"/>
      <c r="E32" s="343"/>
    </row>
    <row r="33" spans="1:5" x14ac:dyDescent="0.3">
      <c r="A33" s="92">
        <v>13.1</v>
      </c>
      <c r="B33" s="105" t="s">
        <v>123</v>
      </c>
      <c r="C33" s="344">
        <f>'7. LI1'!C35</f>
        <v>0</v>
      </c>
      <c r="D33" s="345"/>
      <c r="E33" s="343"/>
    </row>
    <row r="34" spans="1:5" x14ac:dyDescent="0.3">
      <c r="A34" s="92">
        <v>13.2</v>
      </c>
      <c r="B34" s="105" t="s">
        <v>124</v>
      </c>
      <c r="C34" s="344">
        <f>'7. LI1'!C36</f>
        <v>0</v>
      </c>
      <c r="D34" s="353"/>
      <c r="E34" s="343"/>
    </row>
    <row r="35" spans="1:5" x14ac:dyDescent="0.3">
      <c r="A35" s="92">
        <v>14</v>
      </c>
      <c r="B35" s="106" t="s">
        <v>125</v>
      </c>
      <c r="C35" s="358">
        <f>SUM(C6,C10,C12,C13,C14,C18,C21,C22,C23,C26,C29,C32)</f>
        <v>243371280.30143011</v>
      </c>
      <c r="D35" s="353"/>
      <c r="E35" s="343"/>
    </row>
    <row r="36" spans="1:5" x14ac:dyDescent="0.3">
      <c r="A36" s="92"/>
      <c r="B36" s="107" t="s">
        <v>126</v>
      </c>
      <c r="C36" s="359"/>
      <c r="D36" s="360"/>
      <c r="E36" s="343"/>
    </row>
    <row r="37" spans="1:5" x14ac:dyDescent="0.3">
      <c r="A37" s="92">
        <v>15</v>
      </c>
      <c r="B37" s="108" t="s">
        <v>127</v>
      </c>
      <c r="C37" s="361">
        <f>'2. SOFP'!E38</f>
        <v>11079.999999999884</v>
      </c>
      <c r="D37" s="354"/>
      <c r="E37" s="355"/>
    </row>
    <row r="38" spans="1:5" x14ac:dyDescent="0.3">
      <c r="A38" s="92">
        <v>15.1</v>
      </c>
      <c r="B38" s="98" t="s">
        <v>103</v>
      </c>
      <c r="C38" s="361">
        <f>'2. SOFP'!E39</f>
        <v>11079.999999999884</v>
      </c>
      <c r="D38" s="345"/>
      <c r="E38" s="343"/>
    </row>
    <row r="39" spans="1:5" ht="20.399999999999999" x14ac:dyDescent="0.3">
      <c r="A39" s="92">
        <v>16</v>
      </c>
      <c r="B39" s="102" t="s">
        <v>128</v>
      </c>
      <c r="C39" s="361">
        <f>'2. SOFP'!E40</f>
        <v>0</v>
      </c>
      <c r="D39" s="345"/>
      <c r="E39" s="343"/>
    </row>
    <row r="40" spans="1:5" x14ac:dyDescent="0.3">
      <c r="A40" s="92">
        <v>17</v>
      </c>
      <c r="B40" s="102" t="s">
        <v>129</v>
      </c>
      <c r="C40" s="349">
        <f>SUM(C41:C44)</f>
        <v>151963077.53058234</v>
      </c>
      <c r="D40" s="345"/>
      <c r="E40" s="343"/>
    </row>
    <row r="41" spans="1:5" x14ac:dyDescent="0.3">
      <c r="A41" s="92">
        <v>17.100000000000001</v>
      </c>
      <c r="B41" s="109" t="s">
        <v>130</v>
      </c>
      <c r="C41" s="344">
        <f>'2. SOFP'!E42</f>
        <v>151364727.30258423</v>
      </c>
      <c r="D41" s="345"/>
      <c r="E41" s="343"/>
    </row>
    <row r="42" spans="1:5" x14ac:dyDescent="0.3">
      <c r="A42" s="362">
        <v>17.2</v>
      </c>
      <c r="B42" s="363" t="s">
        <v>131</v>
      </c>
      <c r="C42" s="344">
        <f>'2. SOFP'!E43</f>
        <v>0</v>
      </c>
      <c r="D42" s="353"/>
      <c r="E42" s="343"/>
    </row>
    <row r="43" spans="1:5" x14ac:dyDescent="0.3">
      <c r="A43" s="92">
        <v>17.3</v>
      </c>
      <c r="B43" s="364" t="s">
        <v>132</v>
      </c>
      <c r="C43" s="344">
        <f>'2. SOFP'!E44</f>
        <v>0</v>
      </c>
      <c r="D43" s="365"/>
      <c r="E43" s="343"/>
    </row>
    <row r="44" spans="1:5" x14ac:dyDescent="0.3">
      <c r="A44" s="92">
        <v>17.399999999999999</v>
      </c>
      <c r="B44" s="364" t="s">
        <v>133</v>
      </c>
      <c r="C44" s="344">
        <f>'2. SOFP'!E45</f>
        <v>598350.22799811594</v>
      </c>
      <c r="D44" s="365"/>
      <c r="E44" s="343"/>
    </row>
    <row r="45" spans="1:5" x14ac:dyDescent="0.3">
      <c r="A45" s="92">
        <v>18</v>
      </c>
      <c r="B45" s="116" t="s">
        <v>134</v>
      </c>
      <c r="C45" s="344">
        <f>'2. SOFP'!E46</f>
        <v>164734.93770320987</v>
      </c>
      <c r="D45" s="365"/>
      <c r="E45" s="355"/>
    </row>
    <row r="46" spans="1:5" x14ac:dyDescent="0.3">
      <c r="A46" s="92">
        <v>19</v>
      </c>
      <c r="B46" s="116" t="s">
        <v>135</v>
      </c>
      <c r="C46" s="366">
        <f>SUM(C47:C48)</f>
        <v>0</v>
      </c>
      <c r="D46" s="3"/>
    </row>
    <row r="47" spans="1:5" x14ac:dyDescent="0.3">
      <c r="A47" s="92">
        <v>19.100000000000001</v>
      </c>
      <c r="B47" s="367" t="s">
        <v>136</v>
      </c>
      <c r="C47" s="368">
        <f>'2. SOFP'!E48</f>
        <v>0</v>
      </c>
      <c r="D47" s="3"/>
    </row>
    <row r="48" spans="1:5" x14ac:dyDescent="0.3">
      <c r="A48" s="92">
        <v>19.2</v>
      </c>
      <c r="B48" s="367" t="s">
        <v>137</v>
      </c>
      <c r="C48" s="368">
        <f>'2. SOFP'!E49</f>
        <v>0</v>
      </c>
      <c r="D48" s="3"/>
    </row>
    <row r="49" spans="1:6" x14ac:dyDescent="0.3">
      <c r="A49" s="92">
        <v>20</v>
      </c>
      <c r="B49" s="106" t="s">
        <v>138</v>
      </c>
      <c r="C49" s="369">
        <f>'2. SOFP'!E50</f>
        <v>19240769.387602448</v>
      </c>
      <c r="D49" s="357" t="s">
        <v>417</v>
      </c>
      <c r="F49" s="208"/>
    </row>
    <row r="50" spans="1:6" x14ac:dyDescent="0.3">
      <c r="A50" s="92">
        <v>21</v>
      </c>
      <c r="B50" s="97" t="s">
        <v>139</v>
      </c>
      <c r="C50" s="368">
        <f>'2. SOFP'!E51</f>
        <v>2376269.1805868209</v>
      </c>
      <c r="D50" s="3"/>
    </row>
    <row r="51" spans="1:6" x14ac:dyDescent="0.3">
      <c r="A51" s="92">
        <v>21.1</v>
      </c>
      <c r="B51" s="94" t="s">
        <v>140</v>
      </c>
      <c r="C51" s="368">
        <f>'2. SOFP'!E52</f>
        <v>0</v>
      </c>
      <c r="D51" s="3"/>
    </row>
    <row r="52" spans="1:6" x14ac:dyDescent="0.3">
      <c r="A52" s="92">
        <v>22</v>
      </c>
      <c r="B52" s="106" t="s">
        <v>141</v>
      </c>
      <c r="C52" s="366">
        <f>SUM(C37,C39,C40,C45,C46,C49,C50)</f>
        <v>173755931.03647482</v>
      </c>
      <c r="D52" s="3"/>
    </row>
    <row r="53" spans="1:6" x14ac:dyDescent="0.3">
      <c r="A53" s="92"/>
      <c r="B53" s="107" t="s">
        <v>142</v>
      </c>
      <c r="C53" s="368"/>
      <c r="D53" s="3"/>
    </row>
    <row r="54" spans="1:6" x14ac:dyDescent="0.3">
      <c r="A54" s="92">
        <v>23</v>
      </c>
      <c r="B54" s="106" t="s">
        <v>418</v>
      </c>
      <c r="C54" s="370">
        <f>'2. SOFP'!E55</f>
        <v>124746400</v>
      </c>
      <c r="D54" s="357" t="s">
        <v>419</v>
      </c>
    </row>
    <row r="55" spans="1:6" x14ac:dyDescent="0.3">
      <c r="A55" s="92">
        <v>24</v>
      </c>
      <c r="B55" s="106" t="s">
        <v>144</v>
      </c>
      <c r="C55" s="370">
        <f>'2. SOFP'!E56</f>
        <v>0</v>
      </c>
      <c r="D55" s="3"/>
    </row>
    <row r="56" spans="1:6" x14ac:dyDescent="0.3">
      <c r="A56" s="92">
        <v>25</v>
      </c>
      <c r="B56" s="106" t="s">
        <v>145</v>
      </c>
      <c r="C56" s="370">
        <f>'2. SOFP'!E57</f>
        <v>0</v>
      </c>
      <c r="D56" s="3"/>
    </row>
    <row r="57" spans="1:6" x14ac:dyDescent="0.3">
      <c r="A57" s="92">
        <v>26</v>
      </c>
      <c r="B57" s="116" t="s">
        <v>146</v>
      </c>
      <c r="C57" s="370">
        <f>'2. SOFP'!E58</f>
        <v>0</v>
      </c>
      <c r="D57" s="3"/>
    </row>
    <row r="58" spans="1:6" x14ac:dyDescent="0.3">
      <c r="A58" s="92">
        <v>27</v>
      </c>
      <c r="B58" s="116" t="s">
        <v>147</v>
      </c>
      <c r="C58" s="370">
        <f>SUM(C59:C60)</f>
        <v>0</v>
      </c>
      <c r="D58" s="3"/>
    </row>
    <row r="59" spans="1:6" x14ac:dyDescent="0.3">
      <c r="A59" s="92">
        <v>27.1</v>
      </c>
      <c r="B59" s="367" t="s">
        <v>148</v>
      </c>
      <c r="C59" s="371">
        <f>'2. SOFP'!E60</f>
        <v>0</v>
      </c>
      <c r="D59" s="3"/>
    </row>
    <row r="60" spans="1:6" x14ac:dyDescent="0.3">
      <c r="A60" s="92">
        <v>27.2</v>
      </c>
      <c r="B60" s="364" t="s">
        <v>149</v>
      </c>
      <c r="C60" s="371">
        <f>'2. SOFP'!E61</f>
        <v>0</v>
      </c>
      <c r="D60" s="3"/>
    </row>
    <row r="61" spans="1:6" x14ac:dyDescent="0.3">
      <c r="A61" s="92">
        <v>28</v>
      </c>
      <c r="B61" s="97" t="s">
        <v>150</v>
      </c>
      <c r="C61" s="371">
        <f>'2. SOFP'!E62</f>
        <v>0</v>
      </c>
      <c r="D61" s="3"/>
    </row>
    <row r="62" spans="1:6" x14ac:dyDescent="0.3">
      <c r="A62" s="92">
        <v>29</v>
      </c>
      <c r="B62" s="116" t="s">
        <v>151</v>
      </c>
      <c r="C62" s="370">
        <f>SUM(C63:C65)</f>
        <v>3662377.0166368578</v>
      </c>
      <c r="D62" s="3"/>
    </row>
    <row r="63" spans="1:6" x14ac:dyDescent="0.3">
      <c r="A63" s="92">
        <v>29.1</v>
      </c>
      <c r="B63" s="372" t="s">
        <v>152</v>
      </c>
      <c r="C63" s="371">
        <f>'2. SOFP'!E64</f>
        <v>3662377.0166368578</v>
      </c>
      <c r="D63" s="3"/>
    </row>
    <row r="64" spans="1:6" ht="24" customHeight="1" x14ac:dyDescent="0.3">
      <c r="A64" s="92">
        <v>29.2</v>
      </c>
      <c r="B64" s="367" t="s">
        <v>153</v>
      </c>
      <c r="C64" s="371">
        <f>'2. SOFP'!E65</f>
        <v>0</v>
      </c>
      <c r="D64" s="3"/>
    </row>
    <row r="65" spans="1:4" ht="22.2" customHeight="1" x14ac:dyDescent="0.3">
      <c r="A65" s="92">
        <v>29.3</v>
      </c>
      <c r="B65" s="373" t="s">
        <v>154</v>
      </c>
      <c r="C65" s="371">
        <f>'2. SOFP'!E66</f>
        <v>0</v>
      </c>
      <c r="D65" s="3"/>
    </row>
    <row r="66" spans="1:4" x14ac:dyDescent="0.3">
      <c r="A66" s="92">
        <v>30</v>
      </c>
      <c r="B66" s="116" t="s">
        <v>155</v>
      </c>
      <c r="C66" s="371">
        <f>'2. SOFP'!E67</f>
        <v>-58793427.645682007</v>
      </c>
      <c r="D66" s="357" t="s">
        <v>420</v>
      </c>
    </row>
    <row r="67" spans="1:4" x14ac:dyDescent="0.3">
      <c r="A67" s="92">
        <v>31</v>
      </c>
      <c r="B67" s="115" t="s">
        <v>421</v>
      </c>
      <c r="C67" s="370">
        <f>SUM(C54,C55,C56,C57,C58,C61,C62,C66)</f>
        <v>69615349.370954856</v>
      </c>
      <c r="D67" s="3"/>
    </row>
    <row r="68" spans="1:4" x14ac:dyDescent="0.3">
      <c r="A68" s="92">
        <v>32</v>
      </c>
      <c r="B68" s="116" t="s">
        <v>157</v>
      </c>
      <c r="C68" s="370">
        <f>SUM(C52,C67)</f>
        <v>243371280.4074297</v>
      </c>
      <c r="D68" s="3"/>
    </row>
    <row r="69" spans="1:4" x14ac:dyDescent="0.3">
      <c r="C69" s="374"/>
    </row>
    <row r="70" spans="1:4" x14ac:dyDescent="0.3">
      <c r="C70" s="375"/>
    </row>
    <row r="71" spans="1:4" x14ac:dyDescent="0.3">
      <c r="C71" s="375"/>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C1D00-3F0B-403B-A2CA-14C03D808316}">
  <sheetPr>
    <tabColor theme="2" tint="-9.9978637043366805E-2"/>
  </sheetPr>
  <dimension ref="A1:S26"/>
  <sheetViews>
    <sheetView zoomScale="80" zoomScaleNormal="80" workbookViewId="0">
      <pane xSplit="2" ySplit="7" topLeftCell="C8" activePane="bottomRight" state="frozen"/>
      <selection activeCell="B15" sqref="B15:C15"/>
      <selection pane="topRight" activeCell="B15" sqref="B15:C15"/>
      <selection pane="bottomLeft" activeCell="B15" sqref="B15:C15"/>
      <selection pane="bottomRight" activeCell="S8" sqref="C8:S22"/>
    </sheetView>
  </sheetViews>
  <sheetFormatPr defaultColWidth="9.33203125" defaultRowHeight="13.8" x14ac:dyDescent="0.3"/>
  <cols>
    <col min="1" max="1" width="10.5546875" style="18" bestFit="1" customWidth="1"/>
    <col min="2" max="2" width="97" style="18" bestFit="1" customWidth="1"/>
    <col min="3" max="3" width="13.33203125" style="18" customWidth="1"/>
    <col min="4" max="4" width="13.33203125" style="18" bestFit="1" customWidth="1"/>
    <col min="5" max="5" width="12.88671875" style="18" customWidth="1"/>
    <col min="6" max="6" width="13.33203125" style="18" bestFit="1" customWidth="1"/>
    <col min="7" max="7" width="9.44140625" style="18" bestFit="1" customWidth="1"/>
    <col min="8" max="8" width="13.33203125" style="18" bestFit="1" customWidth="1"/>
    <col min="9" max="9" width="13.44140625" style="18" customWidth="1"/>
    <col min="10" max="10" width="13.33203125" style="18" bestFit="1" customWidth="1"/>
    <col min="11" max="11" width="13.33203125" style="18" customWidth="1"/>
    <col min="12" max="12" width="13.33203125" style="18" bestFit="1" customWidth="1"/>
    <col min="13" max="13" width="12.5546875" style="18" customWidth="1"/>
    <col min="14" max="14" width="13.33203125" style="18" bestFit="1" customWidth="1"/>
    <col min="15" max="15" width="9.44140625" style="18" bestFit="1" customWidth="1"/>
    <col min="16" max="16" width="13.33203125" style="18" bestFit="1" customWidth="1"/>
    <col min="17" max="17" width="9.44140625" style="18" bestFit="1" customWidth="1"/>
    <col min="18" max="18" width="13.33203125" style="18" bestFit="1" customWidth="1"/>
    <col min="19" max="19" width="31.5546875" style="18" bestFit="1" customWidth="1"/>
    <col min="20" max="16384" width="9.33203125" style="147"/>
  </cols>
  <sheetData>
    <row r="1" spans="1:19" x14ac:dyDescent="0.3">
      <c r="A1" s="18" t="s">
        <v>44</v>
      </c>
      <c r="B1" s="18" t="str">
        <f>Info!C2</f>
        <v>სს სილქ ბანკი</v>
      </c>
    </row>
    <row r="2" spans="1:19" x14ac:dyDescent="0.3">
      <c r="A2" s="18" t="s">
        <v>45</v>
      </c>
      <c r="B2" s="22">
        <f>'1. key ratios'!B2</f>
        <v>46112</v>
      </c>
    </row>
    <row r="4" spans="1:19" ht="28.2" thickBot="1" x14ac:dyDescent="0.35">
      <c r="A4" s="236" t="s">
        <v>422</v>
      </c>
      <c r="B4" s="376" t="s">
        <v>423</v>
      </c>
    </row>
    <row r="5" spans="1:19" x14ac:dyDescent="0.3">
      <c r="A5" s="377"/>
      <c r="B5" s="378"/>
      <c r="C5" s="379" t="s">
        <v>286</v>
      </c>
      <c r="D5" s="379" t="s">
        <v>287</v>
      </c>
      <c r="E5" s="379" t="s">
        <v>288</v>
      </c>
      <c r="F5" s="379" t="s">
        <v>424</v>
      </c>
      <c r="G5" s="379" t="s">
        <v>425</v>
      </c>
      <c r="H5" s="379" t="s">
        <v>426</v>
      </c>
      <c r="I5" s="379" t="s">
        <v>427</v>
      </c>
      <c r="J5" s="379" t="s">
        <v>428</v>
      </c>
      <c r="K5" s="379" t="s">
        <v>429</v>
      </c>
      <c r="L5" s="379" t="s">
        <v>430</v>
      </c>
      <c r="M5" s="379" t="s">
        <v>431</v>
      </c>
      <c r="N5" s="379" t="s">
        <v>432</v>
      </c>
      <c r="O5" s="379" t="s">
        <v>433</v>
      </c>
      <c r="P5" s="379" t="s">
        <v>434</v>
      </c>
      <c r="Q5" s="379" t="s">
        <v>435</v>
      </c>
      <c r="R5" s="380" t="s">
        <v>436</v>
      </c>
      <c r="S5" s="381" t="s">
        <v>437</v>
      </c>
    </row>
    <row r="6" spans="1:19" ht="46.5" customHeight="1" x14ac:dyDescent="0.3">
      <c r="A6" s="382"/>
      <c r="B6" s="835" t="s">
        <v>438</v>
      </c>
      <c r="C6" s="831">
        <v>0</v>
      </c>
      <c r="D6" s="832"/>
      <c r="E6" s="831">
        <v>0.2</v>
      </c>
      <c r="F6" s="832"/>
      <c r="G6" s="831">
        <v>0.35</v>
      </c>
      <c r="H6" s="832"/>
      <c r="I6" s="831">
        <v>0.5</v>
      </c>
      <c r="J6" s="832"/>
      <c r="K6" s="831">
        <v>0.75</v>
      </c>
      <c r="L6" s="832"/>
      <c r="M6" s="831">
        <v>1</v>
      </c>
      <c r="N6" s="832"/>
      <c r="O6" s="831">
        <v>1.5</v>
      </c>
      <c r="P6" s="832"/>
      <c r="Q6" s="831">
        <v>2.5</v>
      </c>
      <c r="R6" s="832"/>
      <c r="S6" s="833" t="s">
        <v>439</v>
      </c>
    </row>
    <row r="7" spans="1:19" x14ac:dyDescent="0.3">
      <c r="A7" s="382"/>
      <c r="B7" s="836"/>
      <c r="C7" s="383" t="s">
        <v>440</v>
      </c>
      <c r="D7" s="383" t="s">
        <v>441</v>
      </c>
      <c r="E7" s="383" t="s">
        <v>440</v>
      </c>
      <c r="F7" s="383" t="s">
        <v>441</v>
      </c>
      <c r="G7" s="383" t="s">
        <v>440</v>
      </c>
      <c r="H7" s="383" t="s">
        <v>441</v>
      </c>
      <c r="I7" s="383" t="s">
        <v>440</v>
      </c>
      <c r="J7" s="383" t="s">
        <v>441</v>
      </c>
      <c r="K7" s="383" t="s">
        <v>440</v>
      </c>
      <c r="L7" s="383" t="s">
        <v>441</v>
      </c>
      <c r="M7" s="383" t="s">
        <v>440</v>
      </c>
      <c r="N7" s="383" t="s">
        <v>441</v>
      </c>
      <c r="O7" s="383" t="s">
        <v>440</v>
      </c>
      <c r="P7" s="383" t="s">
        <v>441</v>
      </c>
      <c r="Q7" s="383" t="s">
        <v>440</v>
      </c>
      <c r="R7" s="383" t="s">
        <v>441</v>
      </c>
      <c r="S7" s="834"/>
    </row>
    <row r="8" spans="1:19" x14ac:dyDescent="0.3">
      <c r="A8" s="384">
        <v>1</v>
      </c>
      <c r="B8" s="385" t="s">
        <v>442</v>
      </c>
      <c r="C8" s="386">
        <v>17580829.300861459</v>
      </c>
      <c r="D8" s="386"/>
      <c r="E8" s="386">
        <v>0</v>
      </c>
      <c r="F8" s="387"/>
      <c r="G8" s="386">
        <v>0</v>
      </c>
      <c r="H8" s="386"/>
      <c r="I8" s="386">
        <v>0</v>
      </c>
      <c r="J8" s="386"/>
      <c r="K8" s="386">
        <v>0</v>
      </c>
      <c r="L8" s="386"/>
      <c r="M8" s="386">
        <v>2485977.36</v>
      </c>
      <c r="N8" s="386"/>
      <c r="O8" s="386">
        <v>0</v>
      </c>
      <c r="P8" s="386"/>
      <c r="Q8" s="386">
        <v>0</v>
      </c>
      <c r="R8" s="387"/>
      <c r="S8" s="388">
        <f>$C$6*SUM(C8:D8)+$E$6*SUM(E8:F8)+$G$6*SUM(G8:H8)+$I$6*SUM(I8:J8)+$K$6*SUM(K8:L8)+$M$6*SUM(M8:N8)+$O$6*SUM(O8:P8)+$Q$6*SUM(Q8:R8)</f>
        <v>2485977.36</v>
      </c>
    </row>
    <row r="9" spans="1:19" x14ac:dyDescent="0.3">
      <c r="A9" s="384">
        <v>2</v>
      </c>
      <c r="B9" s="385" t="s">
        <v>443</v>
      </c>
      <c r="C9" s="386">
        <v>0</v>
      </c>
      <c r="D9" s="386"/>
      <c r="E9" s="386">
        <v>0</v>
      </c>
      <c r="F9" s="386"/>
      <c r="G9" s="386">
        <v>0</v>
      </c>
      <c r="H9" s="386"/>
      <c r="I9" s="386">
        <v>0</v>
      </c>
      <c r="J9" s="386"/>
      <c r="K9" s="386">
        <v>0</v>
      </c>
      <c r="L9" s="386"/>
      <c r="M9" s="386">
        <v>0</v>
      </c>
      <c r="N9" s="386"/>
      <c r="O9" s="386">
        <v>0</v>
      </c>
      <c r="P9" s="386"/>
      <c r="Q9" s="386">
        <v>0</v>
      </c>
      <c r="R9" s="387"/>
      <c r="S9" s="388">
        <f t="shared" ref="S9:S21" si="0">$C$6*SUM(C9:D9)+$E$6*SUM(E9:F9)+$G$6*SUM(G9:H9)+$I$6*SUM(I9:J9)+$K$6*SUM(K9:L9)+$M$6*SUM(M9:N9)+$O$6*SUM(O9:P9)+$Q$6*SUM(Q9:R9)</f>
        <v>0</v>
      </c>
    </row>
    <row r="10" spans="1:19" x14ac:dyDescent="0.3">
      <c r="A10" s="384">
        <v>3</v>
      </c>
      <c r="B10" s="385" t="s">
        <v>444</v>
      </c>
      <c r="C10" s="386">
        <v>0</v>
      </c>
      <c r="D10" s="386"/>
      <c r="E10" s="386">
        <v>0</v>
      </c>
      <c r="F10" s="386"/>
      <c r="G10" s="386">
        <v>0</v>
      </c>
      <c r="H10" s="386"/>
      <c r="I10" s="386">
        <v>0</v>
      </c>
      <c r="J10" s="386"/>
      <c r="K10" s="386">
        <v>0</v>
      </c>
      <c r="L10" s="386"/>
      <c r="M10" s="386">
        <v>0</v>
      </c>
      <c r="N10" s="386"/>
      <c r="O10" s="386">
        <v>0</v>
      </c>
      <c r="P10" s="386"/>
      <c r="Q10" s="386">
        <v>0</v>
      </c>
      <c r="R10" s="387"/>
      <c r="S10" s="388">
        <f t="shared" si="0"/>
        <v>0</v>
      </c>
    </row>
    <row r="11" spans="1:19" x14ac:dyDescent="0.3">
      <c r="A11" s="384">
        <v>4</v>
      </c>
      <c r="B11" s="385" t="s">
        <v>445</v>
      </c>
      <c r="C11" s="386">
        <v>0</v>
      </c>
      <c r="D11" s="386"/>
      <c r="E11" s="386">
        <v>0</v>
      </c>
      <c r="F11" s="386"/>
      <c r="G11" s="386">
        <v>0</v>
      </c>
      <c r="H11" s="386"/>
      <c r="I11" s="386">
        <v>0</v>
      </c>
      <c r="J11" s="386"/>
      <c r="K11" s="386">
        <v>0</v>
      </c>
      <c r="L11" s="386"/>
      <c r="M11" s="386">
        <v>0</v>
      </c>
      <c r="N11" s="386"/>
      <c r="O11" s="386">
        <v>0</v>
      </c>
      <c r="P11" s="386"/>
      <c r="Q11" s="386">
        <v>0</v>
      </c>
      <c r="R11" s="387"/>
      <c r="S11" s="388">
        <f t="shared" si="0"/>
        <v>0</v>
      </c>
    </row>
    <row r="12" spans="1:19" x14ac:dyDescent="0.3">
      <c r="A12" s="384">
        <v>5</v>
      </c>
      <c r="B12" s="385" t="s">
        <v>446</v>
      </c>
      <c r="C12" s="386">
        <v>0</v>
      </c>
      <c r="D12" s="386"/>
      <c r="E12" s="386">
        <v>0</v>
      </c>
      <c r="F12" s="386"/>
      <c r="G12" s="386">
        <v>0</v>
      </c>
      <c r="H12" s="386"/>
      <c r="I12" s="386">
        <v>0</v>
      </c>
      <c r="J12" s="386"/>
      <c r="K12" s="386">
        <v>0</v>
      </c>
      <c r="L12" s="386"/>
      <c r="M12" s="386">
        <v>0</v>
      </c>
      <c r="N12" s="386"/>
      <c r="O12" s="386">
        <v>0</v>
      </c>
      <c r="P12" s="386"/>
      <c r="Q12" s="386">
        <v>0</v>
      </c>
      <c r="R12" s="387"/>
      <c r="S12" s="388">
        <f t="shared" si="0"/>
        <v>0</v>
      </c>
    </row>
    <row r="13" spans="1:19" x14ac:dyDescent="0.3">
      <c r="A13" s="384">
        <v>6</v>
      </c>
      <c r="B13" s="385" t="s">
        <v>447</v>
      </c>
      <c r="C13" s="386">
        <v>0</v>
      </c>
      <c r="D13" s="386"/>
      <c r="E13" s="386">
        <v>21837570.870000001</v>
      </c>
      <c r="F13" s="386"/>
      <c r="G13" s="386">
        <v>0</v>
      </c>
      <c r="H13" s="386"/>
      <c r="I13" s="386">
        <v>0</v>
      </c>
      <c r="J13" s="386"/>
      <c r="K13" s="386">
        <v>0</v>
      </c>
      <c r="L13" s="386"/>
      <c r="M13" s="386">
        <v>12118589.000000004</v>
      </c>
      <c r="N13" s="386"/>
      <c r="O13" s="386">
        <v>0</v>
      </c>
      <c r="P13" s="386"/>
      <c r="Q13" s="386">
        <v>0</v>
      </c>
      <c r="R13" s="387"/>
      <c r="S13" s="388">
        <f t="shared" si="0"/>
        <v>16486103.174000004</v>
      </c>
    </row>
    <row r="14" spans="1:19" x14ac:dyDescent="0.3">
      <c r="A14" s="384">
        <v>7</v>
      </c>
      <c r="B14" s="385" t="s">
        <v>448</v>
      </c>
      <c r="C14" s="386">
        <v>0</v>
      </c>
      <c r="D14" s="386"/>
      <c r="E14" s="386">
        <v>0</v>
      </c>
      <c r="F14" s="386"/>
      <c r="G14" s="386">
        <v>0</v>
      </c>
      <c r="H14" s="386"/>
      <c r="I14" s="386">
        <v>0</v>
      </c>
      <c r="J14" s="386">
        <v>0</v>
      </c>
      <c r="K14" s="386">
        <v>0</v>
      </c>
      <c r="L14" s="386"/>
      <c r="M14" s="386">
        <v>31366756.899999999</v>
      </c>
      <c r="N14" s="386">
        <v>246491</v>
      </c>
      <c r="O14" s="386">
        <v>0</v>
      </c>
      <c r="P14" s="386"/>
      <c r="Q14" s="386">
        <v>0</v>
      </c>
      <c r="R14" s="387"/>
      <c r="S14" s="388">
        <f t="shared" si="0"/>
        <v>31613247.899999999</v>
      </c>
    </row>
    <row r="15" spans="1:19" x14ac:dyDescent="0.3">
      <c r="A15" s="384">
        <v>8</v>
      </c>
      <c r="B15" s="385" t="s">
        <v>449</v>
      </c>
      <c r="C15" s="386">
        <v>0</v>
      </c>
      <c r="D15" s="386"/>
      <c r="E15" s="386">
        <v>0</v>
      </c>
      <c r="F15" s="386"/>
      <c r="G15" s="386">
        <v>0</v>
      </c>
      <c r="H15" s="386"/>
      <c r="I15" s="386">
        <v>0</v>
      </c>
      <c r="J15" s="386"/>
      <c r="K15" s="386">
        <v>99400255.980000004</v>
      </c>
      <c r="L15" s="386"/>
      <c r="M15" s="386">
        <v>0</v>
      </c>
      <c r="N15" s="386"/>
      <c r="O15" s="386">
        <v>0</v>
      </c>
      <c r="P15" s="386"/>
      <c r="Q15" s="386">
        <v>0</v>
      </c>
      <c r="R15" s="387"/>
      <c r="S15" s="388">
        <f t="shared" si="0"/>
        <v>74550191.984999999</v>
      </c>
    </row>
    <row r="16" spans="1:19" x14ac:dyDescent="0.3">
      <c r="A16" s="384">
        <v>9</v>
      </c>
      <c r="B16" s="385" t="s">
        <v>450</v>
      </c>
      <c r="C16" s="386">
        <v>0</v>
      </c>
      <c r="D16" s="386"/>
      <c r="E16" s="386">
        <v>0</v>
      </c>
      <c r="F16" s="386"/>
      <c r="G16" s="386">
        <v>0</v>
      </c>
      <c r="H16" s="386"/>
      <c r="I16" s="386">
        <v>0</v>
      </c>
      <c r="J16" s="386"/>
      <c r="K16" s="386">
        <v>0</v>
      </c>
      <c r="L16" s="386"/>
      <c r="M16" s="386">
        <v>0</v>
      </c>
      <c r="N16" s="386"/>
      <c r="O16" s="386">
        <v>0</v>
      </c>
      <c r="P16" s="386"/>
      <c r="Q16" s="386">
        <v>0</v>
      </c>
      <c r="R16" s="387"/>
      <c r="S16" s="388">
        <f t="shared" si="0"/>
        <v>0</v>
      </c>
    </row>
    <row r="17" spans="1:19" x14ac:dyDescent="0.3">
      <c r="A17" s="384">
        <v>10</v>
      </c>
      <c r="B17" s="385" t="s">
        <v>451</v>
      </c>
      <c r="C17" s="386">
        <v>0</v>
      </c>
      <c r="D17" s="386"/>
      <c r="E17" s="386">
        <v>0</v>
      </c>
      <c r="F17" s="386"/>
      <c r="G17" s="386">
        <v>0</v>
      </c>
      <c r="H17" s="386"/>
      <c r="I17" s="386">
        <v>0</v>
      </c>
      <c r="J17" s="386"/>
      <c r="K17" s="386">
        <v>0</v>
      </c>
      <c r="L17" s="386"/>
      <c r="M17" s="386">
        <v>1353346.23</v>
      </c>
      <c r="N17" s="386"/>
      <c r="O17" s="386">
        <v>1434289.22</v>
      </c>
      <c r="P17" s="386"/>
      <c r="Q17" s="386">
        <v>0</v>
      </c>
      <c r="R17" s="387"/>
      <c r="S17" s="388">
        <f t="shared" si="0"/>
        <v>3504780.06</v>
      </c>
    </row>
    <row r="18" spans="1:19" x14ac:dyDescent="0.3">
      <c r="A18" s="384">
        <v>11</v>
      </c>
      <c r="B18" s="385" t="s">
        <v>452</v>
      </c>
      <c r="C18" s="386">
        <v>0</v>
      </c>
      <c r="D18" s="386"/>
      <c r="E18" s="386">
        <v>0</v>
      </c>
      <c r="F18" s="386"/>
      <c r="G18" s="386">
        <v>0</v>
      </c>
      <c r="H18" s="386"/>
      <c r="I18" s="386">
        <v>0</v>
      </c>
      <c r="J18" s="386"/>
      <c r="K18" s="386">
        <v>0</v>
      </c>
      <c r="L18" s="386"/>
      <c r="M18" s="386">
        <v>0</v>
      </c>
      <c r="N18" s="386"/>
      <c r="O18" s="386">
        <v>0</v>
      </c>
      <c r="P18" s="386"/>
      <c r="Q18" s="386">
        <v>0</v>
      </c>
      <c r="R18" s="387"/>
      <c r="S18" s="388">
        <f t="shared" si="0"/>
        <v>0</v>
      </c>
    </row>
    <row r="19" spans="1:19" x14ac:dyDescent="0.3">
      <c r="A19" s="384">
        <v>12</v>
      </c>
      <c r="B19" s="385" t="s">
        <v>453</v>
      </c>
      <c r="C19" s="386">
        <v>0</v>
      </c>
      <c r="D19" s="386"/>
      <c r="E19" s="386">
        <v>0</v>
      </c>
      <c r="F19" s="386"/>
      <c r="G19" s="386">
        <v>0</v>
      </c>
      <c r="H19" s="386"/>
      <c r="I19" s="386">
        <v>0</v>
      </c>
      <c r="J19" s="386"/>
      <c r="K19" s="386">
        <v>0</v>
      </c>
      <c r="L19" s="386"/>
      <c r="M19" s="386">
        <v>0</v>
      </c>
      <c r="N19" s="386"/>
      <c r="O19" s="386">
        <v>0</v>
      </c>
      <c r="P19" s="386"/>
      <c r="Q19" s="386">
        <v>0</v>
      </c>
      <c r="R19" s="387"/>
      <c r="S19" s="388">
        <f t="shared" si="0"/>
        <v>0</v>
      </c>
    </row>
    <row r="20" spans="1:19" x14ac:dyDescent="0.3">
      <c r="A20" s="384">
        <v>13</v>
      </c>
      <c r="B20" s="385" t="s">
        <v>454</v>
      </c>
      <c r="C20" s="386">
        <v>0</v>
      </c>
      <c r="D20" s="386"/>
      <c r="E20" s="386">
        <v>0</v>
      </c>
      <c r="F20" s="386"/>
      <c r="G20" s="386">
        <v>0</v>
      </c>
      <c r="H20" s="386"/>
      <c r="I20" s="386">
        <v>0</v>
      </c>
      <c r="J20" s="386"/>
      <c r="K20" s="386">
        <v>0</v>
      </c>
      <c r="L20" s="386"/>
      <c r="M20" s="386">
        <v>0</v>
      </c>
      <c r="N20" s="386"/>
      <c r="O20" s="386">
        <v>0</v>
      </c>
      <c r="P20" s="386"/>
      <c r="Q20" s="386">
        <v>0</v>
      </c>
      <c r="R20" s="387"/>
      <c r="S20" s="388">
        <f t="shared" si="0"/>
        <v>0</v>
      </c>
    </row>
    <row r="21" spans="1:19" x14ac:dyDescent="0.3">
      <c r="A21" s="384">
        <v>14</v>
      </c>
      <c r="B21" s="385" t="s">
        <v>455</v>
      </c>
      <c r="C21" s="386">
        <v>2416547.94</v>
      </c>
      <c r="D21" s="386"/>
      <c r="E21" s="386">
        <v>627151.06000000006</v>
      </c>
      <c r="F21" s="386"/>
      <c r="G21" s="386">
        <v>0</v>
      </c>
      <c r="H21" s="386"/>
      <c r="I21" s="386">
        <v>0</v>
      </c>
      <c r="J21" s="386"/>
      <c r="K21" s="386">
        <v>0</v>
      </c>
      <c r="L21" s="386"/>
      <c r="M21" s="386">
        <v>23466149.428853191</v>
      </c>
      <c r="N21" s="386"/>
      <c r="O21" s="386">
        <v>0</v>
      </c>
      <c r="P21" s="386"/>
      <c r="Q21" s="386">
        <v>179733.45999999996</v>
      </c>
      <c r="R21" s="387"/>
      <c r="S21" s="388">
        <f t="shared" si="0"/>
        <v>24040913.290853191</v>
      </c>
    </row>
    <row r="22" spans="1:19" ht="14.4" thickBot="1" x14ac:dyDescent="0.35">
      <c r="A22" s="389"/>
      <c r="B22" s="390" t="s">
        <v>96</v>
      </c>
      <c r="C22" s="391">
        <f>SUM(C8:C21)</f>
        <v>19997377.240861461</v>
      </c>
      <c r="D22" s="391">
        <f t="shared" ref="D22:S22" si="1">SUM(D8:D21)</f>
        <v>0</v>
      </c>
      <c r="E22" s="391">
        <f t="shared" si="1"/>
        <v>22464721.93</v>
      </c>
      <c r="F22" s="391">
        <f t="shared" si="1"/>
        <v>0</v>
      </c>
      <c r="G22" s="391">
        <f t="shared" si="1"/>
        <v>0</v>
      </c>
      <c r="H22" s="391">
        <f t="shared" si="1"/>
        <v>0</v>
      </c>
      <c r="I22" s="391">
        <f t="shared" si="1"/>
        <v>0</v>
      </c>
      <c r="J22" s="391">
        <f t="shared" si="1"/>
        <v>0</v>
      </c>
      <c r="K22" s="391">
        <f t="shared" si="1"/>
        <v>99400255.980000004</v>
      </c>
      <c r="L22" s="391">
        <f t="shared" si="1"/>
        <v>0</v>
      </c>
      <c r="M22" s="391">
        <f t="shared" si="1"/>
        <v>70790818.918853194</v>
      </c>
      <c r="N22" s="391">
        <f t="shared" si="1"/>
        <v>246491</v>
      </c>
      <c r="O22" s="391">
        <f t="shared" si="1"/>
        <v>1434289.22</v>
      </c>
      <c r="P22" s="391">
        <f t="shared" si="1"/>
        <v>0</v>
      </c>
      <c r="Q22" s="391">
        <f t="shared" si="1"/>
        <v>179733.45999999996</v>
      </c>
      <c r="R22" s="391">
        <f t="shared" si="1"/>
        <v>0</v>
      </c>
      <c r="S22" s="392">
        <f t="shared" si="1"/>
        <v>152681213.7698532</v>
      </c>
    </row>
    <row r="24" spans="1:19" x14ac:dyDescent="0.3">
      <c r="C24" s="754"/>
      <c r="E24" s="754"/>
      <c r="G24" s="754"/>
      <c r="I24" s="754"/>
      <c r="K24" s="754"/>
      <c r="M24" s="754"/>
      <c r="N24" s="754"/>
      <c r="O24" s="754"/>
      <c r="Q24" s="754"/>
      <c r="R24" s="393"/>
      <c r="S24" s="755"/>
    </row>
    <row r="25" spans="1:19" x14ac:dyDescent="0.3">
      <c r="R25" s="756"/>
      <c r="S25" s="754"/>
    </row>
    <row r="26" spans="1:19" x14ac:dyDescent="0.3">
      <c r="R26" s="754"/>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3C13D-BE43-4A4F-A7D3-F78CD5CDF1B8}">
  <dimension ref="A1:V28"/>
  <sheetViews>
    <sheetView zoomScale="80" zoomScaleNormal="80" workbookViewId="0">
      <pane xSplit="2" ySplit="6" topLeftCell="C7" activePane="bottomRight" state="frozen"/>
      <selection activeCell="B15" sqref="B15:C15"/>
      <selection pane="topRight" activeCell="B15" sqref="B15:C15"/>
      <selection pane="bottomLeft" activeCell="B15" sqref="B15:C15"/>
      <selection pane="bottomRight" activeCell="V7" sqref="C7:V21"/>
    </sheetView>
  </sheetViews>
  <sheetFormatPr defaultColWidth="9.33203125" defaultRowHeight="13.8" x14ac:dyDescent="0.3"/>
  <cols>
    <col min="1" max="1" width="10.5546875" style="18" bestFit="1" customWidth="1"/>
    <col min="2" max="2" width="97" style="18" bestFit="1" customWidth="1"/>
    <col min="3" max="3" width="19" style="18" customWidth="1"/>
    <col min="4" max="4" width="19.5546875" style="18" customWidth="1"/>
    <col min="5" max="5" width="31.33203125" style="18" customWidth="1"/>
    <col min="6" max="6" width="29.33203125" style="18" customWidth="1"/>
    <col min="7" max="7" width="28.5546875" style="18" customWidth="1"/>
    <col min="8" max="8" width="26.44140625" style="18" customWidth="1"/>
    <col min="9" max="9" width="23.6640625" style="18" customWidth="1"/>
    <col min="10" max="10" width="21.5546875" style="18" customWidth="1"/>
    <col min="11" max="11" width="15.6640625" style="18" customWidth="1"/>
    <col min="12" max="12" width="13.33203125" style="18" customWidth="1"/>
    <col min="13" max="13" width="20.6640625" style="18" customWidth="1"/>
    <col min="14" max="14" width="19.33203125" style="18" customWidth="1"/>
    <col min="15" max="15" width="18.44140625" style="18" customWidth="1"/>
    <col min="16" max="16" width="19" style="18" customWidth="1"/>
    <col min="17" max="17" width="20.33203125" style="18" customWidth="1"/>
    <col min="18" max="18" width="18" style="18" customWidth="1"/>
    <col min="19" max="19" width="36" style="18" customWidth="1"/>
    <col min="20" max="20" width="19.44140625" style="18" customWidth="1"/>
    <col min="21" max="21" width="19.33203125" style="18" customWidth="1"/>
    <col min="22" max="22" width="20" style="18" customWidth="1"/>
    <col min="23" max="16384" width="9.33203125" style="147"/>
  </cols>
  <sheetData>
    <row r="1" spans="1:22" x14ac:dyDescent="0.3">
      <c r="A1" s="18" t="s">
        <v>44</v>
      </c>
      <c r="B1" s="18" t="str">
        <f>Info!C2</f>
        <v>სს სილქ ბანკი</v>
      </c>
    </row>
    <row r="2" spans="1:22" x14ac:dyDescent="0.3">
      <c r="A2" s="18" t="s">
        <v>45</v>
      </c>
      <c r="B2" s="22">
        <f>'1. key ratios'!B2</f>
        <v>46112</v>
      </c>
    </row>
    <row r="4" spans="1:22" ht="28.2" thickBot="1" x14ac:dyDescent="0.35">
      <c r="A4" s="18" t="s">
        <v>456</v>
      </c>
      <c r="B4" s="376" t="s">
        <v>457</v>
      </c>
      <c r="V4" s="336" t="s">
        <v>239</v>
      </c>
    </row>
    <row r="5" spans="1:22" x14ac:dyDescent="0.3">
      <c r="A5" s="394"/>
      <c r="B5" s="395"/>
      <c r="C5" s="837" t="s">
        <v>458</v>
      </c>
      <c r="D5" s="838"/>
      <c r="E5" s="838"/>
      <c r="F5" s="838"/>
      <c r="G5" s="838"/>
      <c r="H5" s="838"/>
      <c r="I5" s="838"/>
      <c r="J5" s="838"/>
      <c r="K5" s="838"/>
      <c r="L5" s="839"/>
      <c r="M5" s="837" t="s">
        <v>459</v>
      </c>
      <c r="N5" s="838"/>
      <c r="O5" s="838"/>
      <c r="P5" s="838"/>
      <c r="Q5" s="838"/>
      <c r="R5" s="838"/>
      <c r="S5" s="839"/>
      <c r="T5" s="840" t="s">
        <v>460</v>
      </c>
      <c r="U5" s="840" t="s">
        <v>461</v>
      </c>
      <c r="V5" s="842" t="s">
        <v>462</v>
      </c>
    </row>
    <row r="6" spans="1:22" s="236" customFormat="1" ht="151.80000000000001" x14ac:dyDescent="0.3">
      <c r="A6" s="220"/>
      <c r="B6" s="396"/>
      <c r="C6" s="397" t="s">
        <v>463</v>
      </c>
      <c r="D6" s="398" t="s">
        <v>464</v>
      </c>
      <c r="E6" s="399" t="s">
        <v>465</v>
      </c>
      <c r="F6" s="399" t="s">
        <v>466</v>
      </c>
      <c r="G6" s="398" t="s">
        <v>467</v>
      </c>
      <c r="H6" s="398" t="s">
        <v>468</v>
      </c>
      <c r="I6" s="398" t="s">
        <v>469</v>
      </c>
      <c r="J6" s="398" t="s">
        <v>470</v>
      </c>
      <c r="K6" s="398" t="s">
        <v>471</v>
      </c>
      <c r="L6" s="400" t="s">
        <v>472</v>
      </c>
      <c r="M6" s="397" t="s">
        <v>473</v>
      </c>
      <c r="N6" s="398" t="s">
        <v>474</v>
      </c>
      <c r="O6" s="398" t="s">
        <v>475</v>
      </c>
      <c r="P6" s="398" t="s">
        <v>476</v>
      </c>
      <c r="Q6" s="398" t="s">
        <v>477</v>
      </c>
      <c r="R6" s="398" t="s">
        <v>478</v>
      </c>
      <c r="S6" s="400" t="s">
        <v>479</v>
      </c>
      <c r="T6" s="841"/>
      <c r="U6" s="841"/>
      <c r="V6" s="843"/>
    </row>
    <row r="7" spans="1:22" x14ac:dyDescent="0.3">
      <c r="A7" s="401">
        <v>1</v>
      </c>
      <c r="B7" s="385" t="s">
        <v>442</v>
      </c>
      <c r="C7" s="402">
        <v>0</v>
      </c>
      <c r="D7" s="386">
        <v>0</v>
      </c>
      <c r="E7" s="386">
        <v>0</v>
      </c>
      <c r="F7" s="386">
        <v>0</v>
      </c>
      <c r="G7" s="386">
        <v>0</v>
      </c>
      <c r="H7" s="386">
        <v>0</v>
      </c>
      <c r="I7" s="386">
        <v>0</v>
      </c>
      <c r="J7" s="386">
        <v>0</v>
      </c>
      <c r="K7" s="386">
        <v>0</v>
      </c>
      <c r="L7" s="403">
        <v>0</v>
      </c>
      <c r="M7" s="402">
        <v>0</v>
      </c>
      <c r="N7" s="386">
        <v>0</v>
      </c>
      <c r="O7" s="386">
        <v>0</v>
      </c>
      <c r="P7" s="386">
        <v>0</v>
      </c>
      <c r="Q7" s="386">
        <v>0</v>
      </c>
      <c r="R7" s="386">
        <v>0</v>
      </c>
      <c r="S7" s="403">
        <v>0</v>
      </c>
      <c r="T7" s="404">
        <v>0</v>
      </c>
      <c r="U7" s="405">
        <v>0</v>
      </c>
      <c r="V7" s="406">
        <f>SUM(C7:S7)</f>
        <v>0</v>
      </c>
    </row>
    <row r="8" spans="1:22" x14ac:dyDescent="0.3">
      <c r="A8" s="401">
        <v>2</v>
      </c>
      <c r="B8" s="385" t="s">
        <v>443</v>
      </c>
      <c r="C8" s="402">
        <v>0</v>
      </c>
      <c r="D8" s="386">
        <v>0</v>
      </c>
      <c r="E8" s="386">
        <v>0</v>
      </c>
      <c r="F8" s="386">
        <v>0</v>
      </c>
      <c r="G8" s="386">
        <v>0</v>
      </c>
      <c r="H8" s="386">
        <v>0</v>
      </c>
      <c r="I8" s="386">
        <v>0</v>
      </c>
      <c r="J8" s="386">
        <v>0</v>
      </c>
      <c r="K8" s="386">
        <v>0</v>
      </c>
      <c r="L8" s="403">
        <v>0</v>
      </c>
      <c r="M8" s="402">
        <v>0</v>
      </c>
      <c r="N8" s="386">
        <v>0</v>
      </c>
      <c r="O8" s="386">
        <v>0</v>
      </c>
      <c r="P8" s="386">
        <v>0</v>
      </c>
      <c r="Q8" s="386">
        <v>0</v>
      </c>
      <c r="R8" s="386">
        <v>0</v>
      </c>
      <c r="S8" s="403">
        <v>0</v>
      </c>
      <c r="T8" s="405">
        <v>0</v>
      </c>
      <c r="U8" s="405">
        <v>0</v>
      </c>
      <c r="V8" s="406">
        <f t="shared" ref="V8:V20" si="0">SUM(C8:S8)</f>
        <v>0</v>
      </c>
    </row>
    <row r="9" spans="1:22" x14ac:dyDescent="0.3">
      <c r="A9" s="401">
        <v>3</v>
      </c>
      <c r="B9" s="385" t="s">
        <v>444</v>
      </c>
      <c r="C9" s="402">
        <v>0</v>
      </c>
      <c r="D9" s="386">
        <v>0</v>
      </c>
      <c r="E9" s="386">
        <v>0</v>
      </c>
      <c r="F9" s="386">
        <v>0</v>
      </c>
      <c r="G9" s="386">
        <v>0</v>
      </c>
      <c r="H9" s="386">
        <v>0</v>
      </c>
      <c r="I9" s="386">
        <v>0</v>
      </c>
      <c r="J9" s="386">
        <v>0</v>
      </c>
      <c r="K9" s="386">
        <v>0</v>
      </c>
      <c r="L9" s="403">
        <v>0</v>
      </c>
      <c r="M9" s="402">
        <v>0</v>
      </c>
      <c r="N9" s="386">
        <v>0</v>
      </c>
      <c r="O9" s="386">
        <v>0</v>
      </c>
      <c r="P9" s="386">
        <v>0</v>
      </c>
      <c r="Q9" s="386">
        <v>0</v>
      </c>
      <c r="R9" s="386">
        <v>0</v>
      </c>
      <c r="S9" s="403">
        <v>0</v>
      </c>
      <c r="T9" s="405">
        <v>0</v>
      </c>
      <c r="U9" s="405">
        <v>0</v>
      </c>
      <c r="V9" s="406">
        <f>SUM(C9:S9)</f>
        <v>0</v>
      </c>
    </row>
    <row r="10" spans="1:22" x14ac:dyDescent="0.3">
      <c r="A10" s="401">
        <v>4</v>
      </c>
      <c r="B10" s="385" t="s">
        <v>445</v>
      </c>
      <c r="C10" s="402">
        <v>0</v>
      </c>
      <c r="D10" s="386">
        <v>0</v>
      </c>
      <c r="E10" s="386">
        <v>0</v>
      </c>
      <c r="F10" s="386">
        <v>0</v>
      </c>
      <c r="G10" s="386">
        <v>0</v>
      </c>
      <c r="H10" s="386">
        <v>0</v>
      </c>
      <c r="I10" s="386">
        <v>0</v>
      </c>
      <c r="J10" s="386">
        <v>0</v>
      </c>
      <c r="K10" s="386">
        <v>0</v>
      </c>
      <c r="L10" s="403">
        <v>0</v>
      </c>
      <c r="M10" s="402">
        <v>0</v>
      </c>
      <c r="N10" s="386">
        <v>0</v>
      </c>
      <c r="O10" s="386">
        <v>0</v>
      </c>
      <c r="P10" s="386">
        <v>0</v>
      </c>
      <c r="Q10" s="386">
        <v>0</v>
      </c>
      <c r="R10" s="386">
        <v>0</v>
      </c>
      <c r="S10" s="403">
        <v>0</v>
      </c>
      <c r="T10" s="405">
        <v>0</v>
      </c>
      <c r="U10" s="405">
        <v>0</v>
      </c>
      <c r="V10" s="406">
        <f t="shared" si="0"/>
        <v>0</v>
      </c>
    </row>
    <row r="11" spans="1:22" x14ac:dyDescent="0.3">
      <c r="A11" s="401">
        <v>5</v>
      </c>
      <c r="B11" s="385" t="s">
        <v>446</v>
      </c>
      <c r="C11" s="402">
        <v>0</v>
      </c>
      <c r="D11" s="386">
        <v>0</v>
      </c>
      <c r="E11" s="386">
        <v>0</v>
      </c>
      <c r="F11" s="386">
        <v>0</v>
      </c>
      <c r="G11" s="386">
        <v>0</v>
      </c>
      <c r="H11" s="386">
        <v>0</v>
      </c>
      <c r="I11" s="386">
        <v>0</v>
      </c>
      <c r="J11" s="386">
        <v>0</v>
      </c>
      <c r="K11" s="386">
        <v>0</v>
      </c>
      <c r="L11" s="403">
        <v>0</v>
      </c>
      <c r="M11" s="402">
        <v>0</v>
      </c>
      <c r="N11" s="386">
        <v>0</v>
      </c>
      <c r="O11" s="386">
        <v>0</v>
      </c>
      <c r="P11" s="386">
        <v>0</v>
      </c>
      <c r="Q11" s="386">
        <v>0</v>
      </c>
      <c r="R11" s="386">
        <v>0</v>
      </c>
      <c r="S11" s="403">
        <v>0</v>
      </c>
      <c r="T11" s="405">
        <v>0</v>
      </c>
      <c r="U11" s="405">
        <v>0</v>
      </c>
      <c r="V11" s="406">
        <f t="shared" si="0"/>
        <v>0</v>
      </c>
    </row>
    <row r="12" spans="1:22" x14ac:dyDescent="0.3">
      <c r="A12" s="401">
        <v>6</v>
      </c>
      <c r="B12" s="385" t="s">
        <v>447</v>
      </c>
      <c r="C12" s="402">
        <v>0</v>
      </c>
      <c r="D12" s="386">
        <v>0</v>
      </c>
      <c r="E12" s="386">
        <v>0</v>
      </c>
      <c r="F12" s="386">
        <v>0</v>
      </c>
      <c r="G12" s="386">
        <v>0</v>
      </c>
      <c r="H12" s="386">
        <v>0</v>
      </c>
      <c r="I12" s="386">
        <v>0</v>
      </c>
      <c r="J12" s="386">
        <v>0</v>
      </c>
      <c r="K12" s="386">
        <v>0</v>
      </c>
      <c r="L12" s="403">
        <v>0</v>
      </c>
      <c r="M12" s="402">
        <v>0</v>
      </c>
      <c r="N12" s="386">
        <v>0</v>
      </c>
      <c r="O12" s="386">
        <v>0</v>
      </c>
      <c r="P12" s="386">
        <v>0</v>
      </c>
      <c r="Q12" s="386">
        <v>0</v>
      </c>
      <c r="R12" s="386">
        <v>0</v>
      </c>
      <c r="S12" s="403">
        <v>0</v>
      </c>
      <c r="T12" s="405">
        <v>0</v>
      </c>
      <c r="U12" s="405">
        <v>0</v>
      </c>
      <c r="V12" s="406">
        <f t="shared" si="0"/>
        <v>0</v>
      </c>
    </row>
    <row r="13" spans="1:22" x14ac:dyDescent="0.3">
      <c r="A13" s="401">
        <v>7</v>
      </c>
      <c r="B13" s="385" t="s">
        <v>448</v>
      </c>
      <c r="C13" s="402">
        <v>0</v>
      </c>
      <c r="D13" s="386">
        <v>877926.55</v>
      </c>
      <c r="E13" s="386">
        <v>0</v>
      </c>
      <c r="F13" s="386">
        <v>0</v>
      </c>
      <c r="G13" s="386">
        <v>0</v>
      </c>
      <c r="H13" s="386">
        <v>0</v>
      </c>
      <c r="I13" s="386">
        <v>0</v>
      </c>
      <c r="J13" s="386">
        <v>0</v>
      </c>
      <c r="K13" s="386">
        <v>0</v>
      </c>
      <c r="L13" s="403">
        <v>0</v>
      </c>
      <c r="M13" s="402">
        <v>0</v>
      </c>
      <c r="N13" s="386">
        <v>0</v>
      </c>
      <c r="O13" s="386">
        <v>0</v>
      </c>
      <c r="P13" s="386">
        <v>0</v>
      </c>
      <c r="Q13" s="386">
        <v>0</v>
      </c>
      <c r="R13" s="386">
        <v>0</v>
      </c>
      <c r="S13" s="403">
        <v>0</v>
      </c>
      <c r="T13" s="405">
        <f t="shared" ref="T13:T20" si="1">SUM(C13:S13)-U13</f>
        <v>631435.55000000005</v>
      </c>
      <c r="U13" s="405">
        <v>246491</v>
      </c>
      <c r="V13" s="406">
        <f t="shared" si="0"/>
        <v>877926.55</v>
      </c>
    </row>
    <row r="14" spans="1:22" x14ac:dyDescent="0.3">
      <c r="A14" s="401">
        <v>8</v>
      </c>
      <c r="B14" s="385" t="s">
        <v>449</v>
      </c>
      <c r="C14" s="402">
        <v>0</v>
      </c>
      <c r="D14" s="386">
        <v>146993.15</v>
      </c>
      <c r="E14" s="386">
        <v>0</v>
      </c>
      <c r="F14" s="386">
        <v>0</v>
      </c>
      <c r="G14" s="386">
        <v>0</v>
      </c>
      <c r="H14" s="386">
        <v>0</v>
      </c>
      <c r="I14" s="386">
        <v>0</v>
      </c>
      <c r="J14" s="386">
        <v>0</v>
      </c>
      <c r="K14" s="386">
        <v>0</v>
      </c>
      <c r="L14" s="403">
        <v>0</v>
      </c>
      <c r="M14" s="402">
        <v>0</v>
      </c>
      <c r="N14" s="386">
        <v>0</v>
      </c>
      <c r="O14" s="386">
        <v>0</v>
      </c>
      <c r="P14" s="386">
        <v>0</v>
      </c>
      <c r="Q14" s="386">
        <v>0</v>
      </c>
      <c r="R14" s="386">
        <v>0</v>
      </c>
      <c r="S14" s="403">
        <v>0</v>
      </c>
      <c r="T14" s="405">
        <f t="shared" si="1"/>
        <v>146993.15</v>
      </c>
      <c r="U14" s="405">
        <v>0</v>
      </c>
      <c r="V14" s="406">
        <f t="shared" si="0"/>
        <v>146993.15</v>
      </c>
    </row>
    <row r="15" spans="1:22" x14ac:dyDescent="0.3">
      <c r="A15" s="401">
        <v>9</v>
      </c>
      <c r="B15" s="385" t="s">
        <v>450</v>
      </c>
      <c r="C15" s="402">
        <v>0</v>
      </c>
      <c r="D15" s="386">
        <v>0</v>
      </c>
      <c r="E15" s="386">
        <v>0</v>
      </c>
      <c r="F15" s="386">
        <v>0</v>
      </c>
      <c r="G15" s="386">
        <v>0</v>
      </c>
      <c r="H15" s="386">
        <v>0</v>
      </c>
      <c r="I15" s="386">
        <v>0</v>
      </c>
      <c r="J15" s="386">
        <v>0</v>
      </c>
      <c r="K15" s="386">
        <v>0</v>
      </c>
      <c r="L15" s="403">
        <v>0</v>
      </c>
      <c r="M15" s="402">
        <v>0</v>
      </c>
      <c r="N15" s="386">
        <v>0</v>
      </c>
      <c r="O15" s="386">
        <v>0</v>
      </c>
      <c r="P15" s="386">
        <v>0</v>
      </c>
      <c r="Q15" s="386">
        <v>0</v>
      </c>
      <c r="R15" s="386">
        <v>0</v>
      </c>
      <c r="S15" s="403">
        <v>0</v>
      </c>
      <c r="T15" s="405">
        <f t="shared" si="1"/>
        <v>0</v>
      </c>
      <c r="U15" s="405">
        <v>0</v>
      </c>
      <c r="V15" s="406">
        <f t="shared" si="0"/>
        <v>0</v>
      </c>
    </row>
    <row r="16" spans="1:22" x14ac:dyDescent="0.3">
      <c r="A16" s="401">
        <v>10</v>
      </c>
      <c r="B16" s="385" t="s">
        <v>451</v>
      </c>
      <c r="C16" s="402">
        <v>0</v>
      </c>
      <c r="D16" s="386">
        <v>0</v>
      </c>
      <c r="E16" s="386">
        <v>0</v>
      </c>
      <c r="F16" s="386">
        <v>0</v>
      </c>
      <c r="G16" s="386">
        <v>0</v>
      </c>
      <c r="H16" s="386">
        <v>0</v>
      </c>
      <c r="I16" s="386">
        <v>0</v>
      </c>
      <c r="J16" s="386">
        <v>0</v>
      </c>
      <c r="K16" s="386">
        <v>0</v>
      </c>
      <c r="L16" s="403">
        <v>0</v>
      </c>
      <c r="M16" s="402">
        <v>0</v>
      </c>
      <c r="N16" s="386">
        <v>0</v>
      </c>
      <c r="O16" s="386">
        <v>0</v>
      </c>
      <c r="P16" s="386">
        <v>0</v>
      </c>
      <c r="Q16" s="386">
        <v>0</v>
      </c>
      <c r="R16" s="386">
        <v>0</v>
      </c>
      <c r="S16" s="403">
        <v>0</v>
      </c>
      <c r="T16" s="405">
        <f t="shared" si="1"/>
        <v>0</v>
      </c>
      <c r="U16" s="405">
        <v>0</v>
      </c>
      <c r="V16" s="406">
        <f t="shared" si="0"/>
        <v>0</v>
      </c>
    </row>
    <row r="17" spans="1:22" x14ac:dyDescent="0.3">
      <c r="A17" s="401">
        <v>11</v>
      </c>
      <c r="B17" s="385" t="s">
        <v>452</v>
      </c>
      <c r="C17" s="402">
        <v>0</v>
      </c>
      <c r="D17" s="386">
        <v>0</v>
      </c>
      <c r="E17" s="386">
        <v>0</v>
      </c>
      <c r="F17" s="386">
        <v>0</v>
      </c>
      <c r="G17" s="386">
        <v>0</v>
      </c>
      <c r="H17" s="386">
        <v>0</v>
      </c>
      <c r="I17" s="386">
        <v>0</v>
      </c>
      <c r="J17" s="386">
        <v>0</v>
      </c>
      <c r="K17" s="386">
        <v>0</v>
      </c>
      <c r="L17" s="403">
        <v>0</v>
      </c>
      <c r="M17" s="402">
        <v>0</v>
      </c>
      <c r="N17" s="386">
        <v>0</v>
      </c>
      <c r="O17" s="386">
        <v>0</v>
      </c>
      <c r="P17" s="386">
        <v>0</v>
      </c>
      <c r="Q17" s="386">
        <v>0</v>
      </c>
      <c r="R17" s="386">
        <v>0</v>
      </c>
      <c r="S17" s="403">
        <v>0</v>
      </c>
      <c r="T17" s="405">
        <f t="shared" si="1"/>
        <v>0</v>
      </c>
      <c r="U17" s="405">
        <v>0</v>
      </c>
      <c r="V17" s="406">
        <f t="shared" si="0"/>
        <v>0</v>
      </c>
    </row>
    <row r="18" spans="1:22" x14ac:dyDescent="0.3">
      <c r="A18" s="401">
        <v>12</v>
      </c>
      <c r="B18" s="385" t="s">
        <v>453</v>
      </c>
      <c r="C18" s="402">
        <v>0</v>
      </c>
      <c r="D18" s="386">
        <v>0</v>
      </c>
      <c r="E18" s="386">
        <v>0</v>
      </c>
      <c r="F18" s="386">
        <v>0</v>
      </c>
      <c r="G18" s="386">
        <v>0</v>
      </c>
      <c r="H18" s="386">
        <v>0</v>
      </c>
      <c r="I18" s="386">
        <v>0</v>
      </c>
      <c r="J18" s="386">
        <v>0</v>
      </c>
      <c r="K18" s="386">
        <v>0</v>
      </c>
      <c r="L18" s="403">
        <v>0</v>
      </c>
      <c r="M18" s="402">
        <v>0</v>
      </c>
      <c r="N18" s="386">
        <v>0</v>
      </c>
      <c r="O18" s="386">
        <v>0</v>
      </c>
      <c r="P18" s="386">
        <v>0</v>
      </c>
      <c r="Q18" s="386">
        <v>0</v>
      </c>
      <c r="R18" s="386">
        <v>0</v>
      </c>
      <c r="S18" s="403">
        <v>0</v>
      </c>
      <c r="T18" s="405">
        <f t="shared" si="1"/>
        <v>0</v>
      </c>
      <c r="U18" s="405">
        <v>0</v>
      </c>
      <c r="V18" s="406">
        <f t="shared" si="0"/>
        <v>0</v>
      </c>
    </row>
    <row r="19" spans="1:22" x14ac:dyDescent="0.3">
      <c r="A19" s="401">
        <v>13</v>
      </c>
      <c r="B19" s="385" t="s">
        <v>454</v>
      </c>
      <c r="C19" s="402">
        <v>0</v>
      </c>
      <c r="D19" s="386">
        <v>0</v>
      </c>
      <c r="E19" s="386">
        <v>0</v>
      </c>
      <c r="F19" s="386">
        <v>0</v>
      </c>
      <c r="G19" s="386">
        <v>0</v>
      </c>
      <c r="H19" s="386">
        <v>0</v>
      </c>
      <c r="I19" s="386">
        <v>0</v>
      </c>
      <c r="J19" s="386">
        <v>0</v>
      </c>
      <c r="K19" s="386">
        <v>0</v>
      </c>
      <c r="L19" s="403">
        <v>0</v>
      </c>
      <c r="M19" s="402">
        <v>0</v>
      </c>
      <c r="N19" s="386">
        <v>0</v>
      </c>
      <c r="O19" s="386">
        <v>0</v>
      </c>
      <c r="P19" s="386">
        <v>0</v>
      </c>
      <c r="Q19" s="386">
        <v>0</v>
      </c>
      <c r="R19" s="386">
        <v>0</v>
      </c>
      <c r="S19" s="403">
        <v>0</v>
      </c>
      <c r="T19" s="405">
        <f t="shared" si="1"/>
        <v>0</v>
      </c>
      <c r="U19" s="405">
        <v>0</v>
      </c>
      <c r="V19" s="406">
        <f t="shared" si="0"/>
        <v>0</v>
      </c>
    </row>
    <row r="20" spans="1:22" x14ac:dyDescent="0.3">
      <c r="A20" s="401">
        <v>14</v>
      </c>
      <c r="B20" s="385" t="s">
        <v>455</v>
      </c>
      <c r="C20" s="402">
        <v>0</v>
      </c>
      <c r="D20" s="386">
        <v>102309.94</v>
      </c>
      <c r="E20" s="386">
        <v>0</v>
      </c>
      <c r="F20" s="386">
        <v>0</v>
      </c>
      <c r="G20" s="386">
        <v>0</v>
      </c>
      <c r="H20" s="386">
        <v>0</v>
      </c>
      <c r="I20" s="386">
        <v>0</v>
      </c>
      <c r="J20" s="386">
        <v>0</v>
      </c>
      <c r="K20" s="386">
        <v>0</v>
      </c>
      <c r="L20" s="403">
        <v>0</v>
      </c>
      <c r="M20" s="402">
        <v>0</v>
      </c>
      <c r="N20" s="386">
        <v>0</v>
      </c>
      <c r="O20" s="386">
        <v>0</v>
      </c>
      <c r="P20" s="386">
        <v>0</v>
      </c>
      <c r="Q20" s="386">
        <v>0</v>
      </c>
      <c r="R20" s="386">
        <v>0</v>
      </c>
      <c r="S20" s="403">
        <v>0</v>
      </c>
      <c r="T20" s="405">
        <f t="shared" si="1"/>
        <v>102309.94</v>
      </c>
      <c r="U20" s="405">
        <v>0</v>
      </c>
      <c r="V20" s="406">
        <f t="shared" si="0"/>
        <v>102309.94</v>
      </c>
    </row>
    <row r="21" spans="1:22" ht="14.4" thickBot="1" x14ac:dyDescent="0.35">
      <c r="A21" s="389"/>
      <c r="B21" s="407" t="s">
        <v>96</v>
      </c>
      <c r="C21" s="408">
        <f>SUM(C7:C20)</f>
        <v>0</v>
      </c>
      <c r="D21" s="391">
        <f t="shared" ref="D21:V21" si="2">SUM(D7:D20)</f>
        <v>1127229.6400000001</v>
      </c>
      <c r="E21" s="391">
        <f t="shared" si="2"/>
        <v>0</v>
      </c>
      <c r="F21" s="391">
        <f t="shared" si="2"/>
        <v>0</v>
      </c>
      <c r="G21" s="391">
        <f t="shared" si="2"/>
        <v>0</v>
      </c>
      <c r="H21" s="391">
        <f t="shared" si="2"/>
        <v>0</v>
      </c>
      <c r="I21" s="391">
        <f t="shared" si="2"/>
        <v>0</v>
      </c>
      <c r="J21" s="391">
        <f t="shared" si="2"/>
        <v>0</v>
      </c>
      <c r="K21" s="391">
        <f t="shared" si="2"/>
        <v>0</v>
      </c>
      <c r="L21" s="409">
        <f t="shared" si="2"/>
        <v>0</v>
      </c>
      <c r="M21" s="408">
        <f t="shared" si="2"/>
        <v>0</v>
      </c>
      <c r="N21" s="391">
        <f t="shared" si="2"/>
        <v>0</v>
      </c>
      <c r="O21" s="391">
        <f t="shared" si="2"/>
        <v>0</v>
      </c>
      <c r="P21" s="391">
        <f t="shared" si="2"/>
        <v>0</v>
      </c>
      <c r="Q21" s="391">
        <f t="shared" si="2"/>
        <v>0</v>
      </c>
      <c r="R21" s="391">
        <f t="shared" si="2"/>
        <v>0</v>
      </c>
      <c r="S21" s="409">
        <f t="shared" si="2"/>
        <v>0</v>
      </c>
      <c r="T21" s="409">
        <f>SUM(T7:T20)</f>
        <v>880738.64000000013</v>
      </c>
      <c r="U21" s="409">
        <f t="shared" si="2"/>
        <v>246491</v>
      </c>
      <c r="V21" s="410">
        <f t="shared" si="2"/>
        <v>1127229.6400000001</v>
      </c>
    </row>
    <row r="22" spans="1:22" x14ac:dyDescent="0.3">
      <c r="B22" s="411"/>
    </row>
    <row r="23" spans="1:22" x14ac:dyDescent="0.3">
      <c r="T23" s="393"/>
      <c r="U23" s="393"/>
    </row>
    <row r="24" spans="1:22" x14ac:dyDescent="0.3">
      <c r="C24" s="412"/>
      <c r="D24" s="412"/>
      <c r="E24" s="412"/>
    </row>
    <row r="25" spans="1:22" x14ac:dyDescent="0.3">
      <c r="A25" s="214"/>
      <c r="B25" s="214"/>
      <c r="D25" s="412"/>
      <c r="E25" s="412"/>
    </row>
    <row r="26" spans="1:22" x14ac:dyDescent="0.3">
      <c r="A26" s="214"/>
      <c r="B26" s="413"/>
      <c r="D26" s="412"/>
      <c r="E26" s="412"/>
    </row>
    <row r="27" spans="1:22" x14ac:dyDescent="0.3">
      <c r="A27" s="214"/>
      <c r="B27" s="214"/>
      <c r="D27" s="412"/>
      <c r="E27" s="412"/>
    </row>
    <row r="28" spans="1:22" x14ac:dyDescent="0.3">
      <c r="A28" s="214"/>
      <c r="B28" s="413"/>
      <c r="D28" s="412"/>
      <c r="E28" s="412"/>
    </row>
  </sheetData>
  <mergeCells count="5">
    <mergeCell ref="C5:L5"/>
    <mergeCell ref="M5:S5"/>
    <mergeCell ref="T5:T6"/>
    <mergeCell ref="U5:U6"/>
    <mergeCell ref="V5:V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7A121-D7F1-41DD-ABF9-BB10615607AD}">
  <sheetPr>
    <tabColor theme="2" tint="-9.9978637043366805E-2"/>
  </sheetPr>
  <dimension ref="A1:I28"/>
  <sheetViews>
    <sheetView zoomScale="80" zoomScaleNormal="80" workbookViewId="0">
      <pane xSplit="1" ySplit="7" topLeftCell="B8" activePane="bottomRight" state="frozen"/>
      <selection activeCell="B15" sqref="B15:C15"/>
      <selection pane="topRight" activeCell="B15" sqref="B15:C15"/>
      <selection pane="bottomLeft" activeCell="B15" sqref="B15:C15"/>
      <selection pane="bottomRight" activeCell="C8" sqref="C8:H22"/>
    </sheetView>
  </sheetViews>
  <sheetFormatPr defaultColWidth="9.33203125" defaultRowHeight="13.8" x14ac:dyDescent="0.3"/>
  <cols>
    <col min="1" max="1" width="10.5546875" style="18" bestFit="1" customWidth="1"/>
    <col min="2" max="2" width="101.6640625" style="18" customWidth="1"/>
    <col min="3" max="3" width="13.6640625" style="18" customWidth="1"/>
    <col min="4" max="4" width="14.6640625" style="18" bestFit="1" customWidth="1"/>
    <col min="5" max="5" width="17.6640625" style="18" customWidth="1"/>
    <col min="6" max="6" width="15.6640625" style="18" customWidth="1"/>
    <col min="7" max="7" width="17.44140625" style="18" customWidth="1"/>
    <col min="8" max="8" width="15.33203125" style="18" customWidth="1"/>
    <col min="9" max="16384" width="9.33203125" style="147"/>
  </cols>
  <sheetData>
    <row r="1" spans="1:9" x14ac:dyDescent="0.3">
      <c r="A1" s="18" t="s">
        <v>44</v>
      </c>
      <c r="B1" s="18" t="str">
        <f>Info!C2</f>
        <v>სს სილქ ბანკი</v>
      </c>
    </row>
    <row r="2" spans="1:9" x14ac:dyDescent="0.3">
      <c r="A2" s="18" t="s">
        <v>45</v>
      </c>
      <c r="B2" s="22">
        <f>'1. key ratios'!B2</f>
        <v>46112</v>
      </c>
    </row>
    <row r="4" spans="1:9" ht="14.4" thickBot="1" x14ac:dyDescent="0.35">
      <c r="A4" s="18" t="s">
        <v>480</v>
      </c>
      <c r="B4" s="239" t="s">
        <v>481</v>
      </c>
    </row>
    <row r="5" spans="1:9" x14ac:dyDescent="0.3">
      <c r="A5" s="394"/>
      <c r="B5" s="414"/>
      <c r="C5" s="415" t="s">
        <v>286</v>
      </c>
      <c r="D5" s="415" t="s">
        <v>287</v>
      </c>
      <c r="E5" s="415" t="s">
        <v>288</v>
      </c>
      <c r="F5" s="415" t="s">
        <v>424</v>
      </c>
      <c r="G5" s="416" t="s">
        <v>425</v>
      </c>
      <c r="H5" s="417" t="s">
        <v>426</v>
      </c>
      <c r="I5" s="418"/>
    </row>
    <row r="6" spans="1:9" ht="15" customHeight="1" x14ac:dyDescent="0.3">
      <c r="A6" s="382"/>
      <c r="B6" s="419"/>
      <c r="C6" s="835" t="s">
        <v>482</v>
      </c>
      <c r="D6" s="844" t="s">
        <v>483</v>
      </c>
      <c r="E6" s="845"/>
      <c r="F6" s="835" t="s">
        <v>484</v>
      </c>
      <c r="G6" s="835" t="s">
        <v>485</v>
      </c>
      <c r="H6" s="846" t="s">
        <v>486</v>
      </c>
      <c r="I6" s="418"/>
    </row>
    <row r="7" spans="1:9" ht="69" x14ac:dyDescent="0.3">
      <c r="A7" s="382"/>
      <c r="B7" s="419"/>
      <c r="C7" s="836"/>
      <c r="D7" s="204" t="s">
        <v>487</v>
      </c>
      <c r="E7" s="204" t="s">
        <v>488</v>
      </c>
      <c r="F7" s="836"/>
      <c r="G7" s="836"/>
      <c r="H7" s="847"/>
      <c r="I7" s="418"/>
    </row>
    <row r="8" spans="1:9" x14ac:dyDescent="0.3">
      <c r="A8" s="420">
        <v>1</v>
      </c>
      <c r="B8" s="385" t="s">
        <v>442</v>
      </c>
      <c r="C8" s="386">
        <v>20066806.660861459</v>
      </c>
      <c r="D8" s="386"/>
      <c r="E8" s="386"/>
      <c r="F8" s="386">
        <v>2485977.36</v>
      </c>
      <c r="G8" s="387">
        <v>2485977.36</v>
      </c>
      <c r="H8" s="421">
        <f>G8/(C8+E8)</f>
        <v>0.12388505067169855</v>
      </c>
    </row>
    <row r="9" spans="1:9" ht="15" customHeight="1" x14ac:dyDescent="0.3">
      <c r="A9" s="420">
        <v>2</v>
      </c>
      <c r="B9" s="385" t="s">
        <v>443</v>
      </c>
      <c r="C9" s="386">
        <v>0</v>
      </c>
      <c r="D9" s="386"/>
      <c r="E9" s="386"/>
      <c r="F9" s="386">
        <v>0</v>
      </c>
      <c r="G9" s="387">
        <v>0</v>
      </c>
      <c r="H9" s="421" t="e">
        <f t="shared" ref="H9:H21" si="0">G9/(C9+E9)</f>
        <v>#DIV/0!</v>
      </c>
    </row>
    <row r="10" spans="1:9" x14ac:dyDescent="0.3">
      <c r="A10" s="420">
        <v>3</v>
      </c>
      <c r="B10" s="385" t="s">
        <v>444</v>
      </c>
      <c r="C10" s="386">
        <v>0</v>
      </c>
      <c r="D10" s="386"/>
      <c r="E10" s="386"/>
      <c r="F10" s="386">
        <v>0</v>
      </c>
      <c r="G10" s="387">
        <v>0</v>
      </c>
      <c r="H10" s="421" t="e">
        <f t="shared" si="0"/>
        <v>#DIV/0!</v>
      </c>
    </row>
    <row r="11" spans="1:9" x14ac:dyDescent="0.3">
      <c r="A11" s="420">
        <v>4</v>
      </c>
      <c r="B11" s="385" t="s">
        <v>445</v>
      </c>
      <c r="C11" s="386">
        <v>0</v>
      </c>
      <c r="D11" s="386"/>
      <c r="E11" s="386"/>
      <c r="F11" s="386">
        <v>0</v>
      </c>
      <c r="G11" s="387">
        <v>0</v>
      </c>
      <c r="H11" s="421" t="e">
        <f t="shared" si="0"/>
        <v>#DIV/0!</v>
      </c>
    </row>
    <row r="12" spans="1:9" x14ac:dyDescent="0.3">
      <c r="A12" s="420">
        <v>5</v>
      </c>
      <c r="B12" s="385" t="s">
        <v>446</v>
      </c>
      <c r="C12" s="386">
        <v>0</v>
      </c>
      <c r="D12" s="386"/>
      <c r="E12" s="386"/>
      <c r="F12" s="386">
        <v>0</v>
      </c>
      <c r="G12" s="387">
        <v>0</v>
      </c>
      <c r="H12" s="421" t="e">
        <f t="shared" si="0"/>
        <v>#DIV/0!</v>
      </c>
    </row>
    <row r="13" spans="1:9" x14ac:dyDescent="0.3">
      <c r="A13" s="420">
        <v>6</v>
      </c>
      <c r="B13" s="385" t="s">
        <v>447</v>
      </c>
      <c r="C13" s="386">
        <v>33956159.870000005</v>
      </c>
      <c r="D13" s="386"/>
      <c r="E13" s="386"/>
      <c r="F13" s="386">
        <v>16486103.174000004</v>
      </c>
      <c r="G13" s="387">
        <v>16486103.174000004</v>
      </c>
      <c r="H13" s="421">
        <f t="shared" si="0"/>
        <v>0.48551141345536381</v>
      </c>
    </row>
    <row r="14" spans="1:9" x14ac:dyDescent="0.3">
      <c r="A14" s="420">
        <v>7</v>
      </c>
      <c r="B14" s="385" t="s">
        <v>448</v>
      </c>
      <c r="C14" s="386">
        <v>31366756.899999999</v>
      </c>
      <c r="D14" s="386">
        <v>33493943.372296788</v>
      </c>
      <c r="E14" s="386">
        <v>246491</v>
      </c>
      <c r="F14" s="386">
        <v>31366756.899999999</v>
      </c>
      <c r="G14" s="387">
        <v>30735321.349999998</v>
      </c>
      <c r="H14" s="421">
        <f>G14/(C14+E14)</f>
        <v>0.97222915681498201</v>
      </c>
    </row>
    <row r="15" spans="1:9" x14ac:dyDescent="0.3">
      <c r="A15" s="420">
        <v>8</v>
      </c>
      <c r="B15" s="385" t="s">
        <v>449</v>
      </c>
      <c r="C15" s="386">
        <v>99400255.980000004</v>
      </c>
      <c r="D15" s="386"/>
      <c r="E15" s="386"/>
      <c r="F15" s="386">
        <v>74550191.984999999</v>
      </c>
      <c r="G15" s="387">
        <v>74403198.834999993</v>
      </c>
      <c r="H15" s="421">
        <f t="shared" si="0"/>
        <v>0.74852119948232743</v>
      </c>
    </row>
    <row r="16" spans="1:9" x14ac:dyDescent="0.3">
      <c r="A16" s="420">
        <v>9</v>
      </c>
      <c r="B16" s="385" t="s">
        <v>450</v>
      </c>
      <c r="C16" s="386">
        <v>0</v>
      </c>
      <c r="D16" s="386"/>
      <c r="E16" s="386"/>
      <c r="F16" s="386">
        <v>0</v>
      </c>
      <c r="G16" s="387">
        <v>0</v>
      </c>
      <c r="H16" s="421" t="e">
        <f t="shared" si="0"/>
        <v>#DIV/0!</v>
      </c>
    </row>
    <row r="17" spans="1:8" x14ac:dyDescent="0.3">
      <c r="A17" s="420">
        <v>10</v>
      </c>
      <c r="B17" s="385" t="s">
        <v>451</v>
      </c>
      <c r="C17" s="386">
        <v>2787635.45</v>
      </c>
      <c r="D17" s="386"/>
      <c r="E17" s="386"/>
      <c r="F17" s="386">
        <v>3504780.06</v>
      </c>
      <c r="G17" s="387">
        <v>3504780.06</v>
      </c>
      <c r="H17" s="421">
        <f t="shared" si="0"/>
        <v>1.2572591082524796</v>
      </c>
    </row>
    <row r="18" spans="1:8" x14ac:dyDescent="0.3">
      <c r="A18" s="420">
        <v>11</v>
      </c>
      <c r="B18" s="385" t="s">
        <v>452</v>
      </c>
      <c r="C18" s="386">
        <v>0</v>
      </c>
      <c r="D18" s="386"/>
      <c r="E18" s="386"/>
      <c r="F18" s="386">
        <v>0</v>
      </c>
      <c r="G18" s="387">
        <v>0</v>
      </c>
      <c r="H18" s="421" t="e">
        <f t="shared" si="0"/>
        <v>#DIV/0!</v>
      </c>
    </row>
    <row r="19" spans="1:8" x14ac:dyDescent="0.3">
      <c r="A19" s="420">
        <v>12</v>
      </c>
      <c r="B19" s="385" t="s">
        <v>453</v>
      </c>
      <c r="C19" s="386">
        <v>0</v>
      </c>
      <c r="D19" s="386"/>
      <c r="E19" s="386"/>
      <c r="F19" s="386">
        <v>0</v>
      </c>
      <c r="G19" s="387">
        <v>0</v>
      </c>
      <c r="H19" s="421" t="e">
        <f t="shared" si="0"/>
        <v>#DIV/0!</v>
      </c>
    </row>
    <row r="20" spans="1:8" x14ac:dyDescent="0.3">
      <c r="A20" s="420">
        <v>13</v>
      </c>
      <c r="B20" s="385" t="s">
        <v>454</v>
      </c>
      <c r="C20" s="386">
        <v>0</v>
      </c>
      <c r="D20" s="386"/>
      <c r="E20" s="386"/>
      <c r="F20" s="386">
        <v>0</v>
      </c>
      <c r="G20" s="387">
        <v>0</v>
      </c>
      <c r="H20" s="421" t="e">
        <f t="shared" si="0"/>
        <v>#DIV/0!</v>
      </c>
    </row>
    <row r="21" spans="1:8" x14ac:dyDescent="0.3">
      <c r="A21" s="420">
        <v>14</v>
      </c>
      <c r="B21" s="385" t="s">
        <v>455</v>
      </c>
      <c r="C21" s="386">
        <v>26689581.888853192</v>
      </c>
      <c r="D21" s="386"/>
      <c r="E21" s="386"/>
      <c r="F21" s="386">
        <v>24040913.290853195</v>
      </c>
      <c r="G21" s="387">
        <v>23938603.350853194</v>
      </c>
      <c r="H21" s="421">
        <f t="shared" si="0"/>
        <v>0.89692687770620583</v>
      </c>
    </row>
    <row r="22" spans="1:8" ht="14.4" thickBot="1" x14ac:dyDescent="0.35">
      <c r="A22" s="422"/>
      <c r="B22" s="423" t="s">
        <v>96</v>
      </c>
      <c r="C22" s="391">
        <f>SUM(C8:C21)</f>
        <v>214267196.74971467</v>
      </c>
      <c r="D22" s="391">
        <f>SUM(D8:D21)</f>
        <v>33493943.372296788</v>
      </c>
      <c r="E22" s="391">
        <f>SUM(E8:E21)</f>
        <v>246491</v>
      </c>
      <c r="F22" s="391">
        <f>SUM(F8:F21)</f>
        <v>152434722.7698532</v>
      </c>
      <c r="G22" s="391">
        <f>SUM(G8:G21)</f>
        <v>151553984.12985319</v>
      </c>
      <c r="H22" s="424">
        <f>G22/(C22+E22)</f>
        <v>0.7065002971124148</v>
      </c>
    </row>
    <row r="24" spans="1:8" x14ac:dyDescent="0.3">
      <c r="C24" s="790">
        <v>0</v>
      </c>
      <c r="D24" s="790">
        <v>0</v>
      </c>
      <c r="E24" s="790">
        <v>0</v>
      </c>
      <c r="F24" s="790">
        <v>0</v>
      </c>
      <c r="G24" s="790">
        <v>0</v>
      </c>
    </row>
    <row r="28" spans="1:8" ht="10.5" customHeight="1" x14ac:dyDescent="0.3"/>
  </sheetData>
  <mergeCells count="5">
    <mergeCell ref="C6:C7"/>
    <mergeCell ref="D6:E6"/>
    <mergeCell ref="F6:F7"/>
    <mergeCell ref="G6:G7"/>
    <mergeCell ref="H6:H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816A-033C-4F56-A447-DD0EC3D19C6E}">
  <dimension ref="A1:K28"/>
  <sheetViews>
    <sheetView zoomScale="85" zoomScaleNormal="85" workbookViewId="0">
      <pane xSplit="2" ySplit="6" topLeftCell="C7" activePane="bottomRight" state="frozen"/>
      <selection activeCell="B15" sqref="B15:C15"/>
      <selection pane="topRight" activeCell="B15" sqref="B15:C15"/>
      <selection pane="bottomLeft" activeCell="B15" sqref="B15:C15"/>
      <selection pane="bottomRight" activeCell="F23" sqref="F23:K25"/>
    </sheetView>
  </sheetViews>
  <sheetFormatPr defaultColWidth="9.33203125" defaultRowHeight="13.8" x14ac:dyDescent="0.3"/>
  <cols>
    <col min="1" max="1" width="10.5546875" style="18" bestFit="1" customWidth="1"/>
    <col min="2" max="2" width="86.88671875" style="18" customWidth="1"/>
    <col min="3" max="3" width="15.5546875" style="18" customWidth="1"/>
    <col min="4" max="4" width="15.109375" style="18" customWidth="1"/>
    <col min="5" max="5" width="15.21875" style="18" customWidth="1"/>
    <col min="6" max="6" width="15.6640625" style="425" customWidth="1"/>
    <col min="7" max="7" width="13.44140625" style="425" customWidth="1"/>
    <col min="8" max="8" width="14.44140625" style="425" customWidth="1"/>
    <col min="9" max="9" width="14.88671875" style="425" customWidth="1"/>
    <col min="10" max="10" width="14.5546875" style="425" customWidth="1"/>
    <col min="11" max="11" width="13.77734375" style="425" customWidth="1"/>
    <col min="12" max="16384" width="9.33203125" style="18"/>
  </cols>
  <sheetData>
    <row r="1" spans="1:11" x14ac:dyDescent="0.3">
      <c r="A1" s="18" t="s">
        <v>44</v>
      </c>
      <c r="B1" s="18" t="str">
        <f>Info!C2</f>
        <v>სს სილქ ბანკი</v>
      </c>
    </row>
    <row r="2" spans="1:11" x14ac:dyDescent="0.3">
      <c r="A2" s="18" t="s">
        <v>45</v>
      </c>
      <c r="B2" s="22">
        <f>'1. key ratios'!B2</f>
        <v>46112</v>
      </c>
    </row>
    <row r="4" spans="1:11" ht="14.4" thickBot="1" x14ac:dyDescent="0.35">
      <c r="A4" s="18" t="s">
        <v>489</v>
      </c>
      <c r="B4" s="239" t="s">
        <v>29</v>
      </c>
    </row>
    <row r="5" spans="1:11" ht="30" customHeight="1" x14ac:dyDescent="0.3">
      <c r="A5" s="848"/>
      <c r="B5" s="849"/>
      <c r="C5" s="850" t="s">
        <v>490</v>
      </c>
      <c r="D5" s="850"/>
      <c r="E5" s="850"/>
      <c r="F5" s="851" t="s">
        <v>491</v>
      </c>
      <c r="G5" s="851"/>
      <c r="H5" s="851"/>
      <c r="I5" s="851" t="s">
        <v>492</v>
      </c>
      <c r="J5" s="851"/>
      <c r="K5" s="852"/>
    </row>
    <row r="6" spans="1:11" x14ac:dyDescent="0.3">
      <c r="A6" s="426"/>
      <c r="B6" s="427"/>
      <c r="C6" s="204" t="s">
        <v>94</v>
      </c>
      <c r="D6" s="204" t="s">
        <v>493</v>
      </c>
      <c r="E6" s="204" t="s">
        <v>96</v>
      </c>
      <c r="F6" s="428" t="s">
        <v>94</v>
      </c>
      <c r="G6" s="428" t="s">
        <v>493</v>
      </c>
      <c r="H6" s="428" t="s">
        <v>96</v>
      </c>
      <c r="I6" s="428" t="s">
        <v>94</v>
      </c>
      <c r="J6" s="428" t="s">
        <v>493</v>
      </c>
      <c r="K6" s="429" t="s">
        <v>96</v>
      </c>
    </row>
    <row r="7" spans="1:11" x14ac:dyDescent="0.3">
      <c r="A7" s="430" t="s">
        <v>494</v>
      </c>
      <c r="B7" s="431"/>
      <c r="C7" s="431"/>
      <c r="D7" s="431"/>
      <c r="E7" s="431"/>
      <c r="F7" s="432"/>
      <c r="G7" s="432"/>
      <c r="H7" s="432"/>
      <c r="I7" s="432"/>
      <c r="J7" s="432"/>
      <c r="K7" s="433"/>
    </row>
    <row r="8" spans="1:11" x14ac:dyDescent="0.3">
      <c r="A8" s="434">
        <v>1</v>
      </c>
      <c r="B8" s="435" t="s">
        <v>494</v>
      </c>
      <c r="C8" s="32"/>
      <c r="D8" s="32"/>
      <c r="E8" s="32"/>
      <c r="F8" s="436">
        <v>36572173.07</v>
      </c>
      <c r="G8" s="436">
        <v>16415204.02</v>
      </c>
      <c r="H8" s="436">
        <f>F8+G8</f>
        <v>52987377.090000004</v>
      </c>
      <c r="I8" s="436">
        <v>18156209.059999999</v>
      </c>
      <c r="J8" s="436">
        <v>4192053.53</v>
      </c>
      <c r="K8" s="437">
        <f>I8+J8</f>
        <v>22348262.59</v>
      </c>
    </row>
    <row r="9" spans="1:11" x14ac:dyDescent="0.3">
      <c r="A9" s="430" t="s">
        <v>495</v>
      </c>
      <c r="B9" s="431"/>
      <c r="C9" s="431"/>
      <c r="D9" s="431"/>
      <c r="E9" s="431"/>
      <c r="F9" s="432"/>
      <c r="G9" s="432"/>
      <c r="H9" s="432"/>
      <c r="I9" s="432"/>
      <c r="J9" s="432"/>
      <c r="K9" s="433"/>
    </row>
    <row r="10" spans="1:11" x14ac:dyDescent="0.3">
      <c r="A10" s="220">
        <v>2</v>
      </c>
      <c r="B10" s="438" t="s">
        <v>496</v>
      </c>
      <c r="C10" s="209">
        <v>36820486.480000004</v>
      </c>
      <c r="D10" s="439">
        <v>12253653.01</v>
      </c>
      <c r="E10" s="439">
        <f>C10+D10</f>
        <v>49074139.490000002</v>
      </c>
      <c r="F10" s="439">
        <v>2213574.5392999998</v>
      </c>
      <c r="G10" s="439">
        <v>1289249.4375500001</v>
      </c>
      <c r="H10" s="439">
        <f>F10+G10</f>
        <v>3502823.9768500002</v>
      </c>
      <c r="I10" s="439">
        <v>438108.35499999998</v>
      </c>
      <c r="J10" s="439">
        <v>238756.06899999999</v>
      </c>
      <c r="K10" s="440">
        <f>I10+J10</f>
        <v>676864.424</v>
      </c>
    </row>
    <row r="11" spans="1:11" x14ac:dyDescent="0.3">
      <c r="A11" s="220">
        <v>3</v>
      </c>
      <c r="B11" s="438" t="s">
        <v>497</v>
      </c>
      <c r="C11" s="209">
        <v>113937576.73999999</v>
      </c>
      <c r="D11" s="439">
        <v>23818259.209999997</v>
      </c>
      <c r="E11" s="439">
        <f>C11+D11</f>
        <v>137755835.94999999</v>
      </c>
      <c r="F11" s="439">
        <v>7099919.4538000003</v>
      </c>
      <c r="G11" s="439">
        <v>6513933.946800001</v>
      </c>
      <c r="H11" s="439">
        <f t="shared" ref="H11:H16" si="0">F11+G11</f>
        <v>13613853.400600001</v>
      </c>
      <c r="I11" s="439">
        <v>2028342.6214999999</v>
      </c>
      <c r="J11" s="439">
        <v>1953715.933</v>
      </c>
      <c r="K11" s="440">
        <f t="shared" ref="K11:K16" si="1">I11+J11</f>
        <v>3982058.5544999996</v>
      </c>
    </row>
    <row r="12" spans="1:11" x14ac:dyDescent="0.3">
      <c r="A12" s="220">
        <v>4</v>
      </c>
      <c r="B12" s="438" t="s">
        <v>498</v>
      </c>
      <c r="C12" s="209">
        <v>0</v>
      </c>
      <c r="D12" s="439">
        <v>0</v>
      </c>
      <c r="E12" s="439">
        <f t="shared" ref="E12:E16" si="2">C12+D12</f>
        <v>0</v>
      </c>
      <c r="F12" s="439">
        <v>0</v>
      </c>
      <c r="G12" s="439">
        <v>0</v>
      </c>
      <c r="H12" s="439">
        <f t="shared" si="0"/>
        <v>0</v>
      </c>
      <c r="I12" s="439">
        <v>0</v>
      </c>
      <c r="J12" s="439">
        <v>0</v>
      </c>
      <c r="K12" s="440">
        <f t="shared" si="1"/>
        <v>0</v>
      </c>
    </row>
    <row r="13" spans="1:11" x14ac:dyDescent="0.3">
      <c r="A13" s="220">
        <v>5</v>
      </c>
      <c r="B13" s="438" t="s">
        <v>499</v>
      </c>
      <c r="C13" s="209">
        <v>30369149.380000006</v>
      </c>
      <c r="D13" s="439">
        <v>410685.53</v>
      </c>
      <c r="E13" s="439">
        <f t="shared" si="2"/>
        <v>30779834.910000008</v>
      </c>
      <c r="F13" s="439">
        <v>6150511.2792000016</v>
      </c>
      <c r="G13" s="439">
        <v>65672.008999999991</v>
      </c>
      <c r="H13" s="439">
        <f t="shared" si="0"/>
        <v>6216183.2882000012</v>
      </c>
      <c r="I13" s="439">
        <v>1518568.5800000003</v>
      </c>
      <c r="J13" s="439">
        <v>20534.2765</v>
      </c>
      <c r="K13" s="440">
        <f t="shared" si="1"/>
        <v>1539102.8565000002</v>
      </c>
    </row>
    <row r="14" spans="1:11" x14ac:dyDescent="0.3">
      <c r="A14" s="220">
        <v>6</v>
      </c>
      <c r="B14" s="438" t="s">
        <v>500</v>
      </c>
      <c r="C14" s="209">
        <v>0</v>
      </c>
      <c r="D14" s="439">
        <v>0</v>
      </c>
      <c r="E14" s="439">
        <f t="shared" si="2"/>
        <v>0</v>
      </c>
      <c r="F14" s="439">
        <v>0</v>
      </c>
      <c r="G14" s="439">
        <v>0</v>
      </c>
      <c r="H14" s="439">
        <f t="shared" si="0"/>
        <v>0</v>
      </c>
      <c r="I14" s="439">
        <v>0</v>
      </c>
      <c r="J14" s="439">
        <v>0</v>
      </c>
      <c r="K14" s="440">
        <f t="shared" si="1"/>
        <v>0</v>
      </c>
    </row>
    <row r="15" spans="1:11" x14ac:dyDescent="0.3">
      <c r="A15" s="220">
        <v>7</v>
      </c>
      <c r="B15" s="438" t="s">
        <v>501</v>
      </c>
      <c r="C15" s="209">
        <v>5528612.7699999996</v>
      </c>
      <c r="D15" s="439">
        <v>9937806.1099999994</v>
      </c>
      <c r="E15" s="439">
        <f t="shared" si="2"/>
        <v>15466418.879999999</v>
      </c>
      <c r="F15" s="439">
        <v>4144684.0500000003</v>
      </c>
      <c r="G15" s="439">
        <v>2588119.0999999996</v>
      </c>
      <c r="H15" s="439">
        <f t="shared" si="0"/>
        <v>6732803.1500000004</v>
      </c>
      <c r="I15" s="439">
        <v>8129703.6065000007</v>
      </c>
      <c r="J15" s="439">
        <v>4801125.3784999996</v>
      </c>
      <c r="K15" s="440">
        <f t="shared" si="1"/>
        <v>12930828.984999999</v>
      </c>
    </row>
    <row r="16" spans="1:11" x14ac:dyDescent="0.3">
      <c r="A16" s="220">
        <v>8</v>
      </c>
      <c r="B16" s="441" t="s">
        <v>502</v>
      </c>
      <c r="C16" s="209">
        <f>SUM(C10:C15)</f>
        <v>186655825.37</v>
      </c>
      <c r="D16" s="209">
        <f>SUM(D10:D15)</f>
        <v>46420403.859999999</v>
      </c>
      <c r="E16" s="439">
        <f t="shared" si="2"/>
        <v>233076229.23000002</v>
      </c>
      <c r="F16" s="439">
        <f>SUM(F10:F15)</f>
        <v>19608689.322300002</v>
      </c>
      <c r="G16" s="439">
        <f>SUM(G10:G15)</f>
        <v>10456974.493349999</v>
      </c>
      <c r="H16" s="439">
        <f t="shared" si="0"/>
        <v>30065663.815650001</v>
      </c>
      <c r="I16" s="439">
        <f>SUM(I10:I15)</f>
        <v>12114723.163000001</v>
      </c>
      <c r="J16" s="439">
        <f>SUM(J10:J15)</f>
        <v>7014131.6569999997</v>
      </c>
      <c r="K16" s="440">
        <f t="shared" si="1"/>
        <v>19128854.82</v>
      </c>
    </row>
    <row r="17" spans="1:11" x14ac:dyDescent="0.3">
      <c r="A17" s="430" t="s">
        <v>503</v>
      </c>
      <c r="B17" s="431"/>
      <c r="C17" s="432"/>
      <c r="D17" s="432"/>
      <c r="E17" s="432"/>
      <c r="F17" s="432"/>
      <c r="G17" s="432"/>
      <c r="H17" s="432"/>
      <c r="I17" s="432"/>
      <c r="J17" s="432"/>
      <c r="K17" s="433"/>
    </row>
    <row r="18" spans="1:11" x14ac:dyDescent="0.3">
      <c r="A18" s="220">
        <v>9</v>
      </c>
      <c r="B18" s="438" t="s">
        <v>504</v>
      </c>
      <c r="C18" s="209">
        <v>0</v>
      </c>
      <c r="D18" s="439">
        <v>0</v>
      </c>
      <c r="E18" s="439">
        <v>0</v>
      </c>
      <c r="F18" s="439">
        <v>0</v>
      </c>
      <c r="G18" s="439">
        <v>0</v>
      </c>
      <c r="H18" s="439">
        <v>0</v>
      </c>
      <c r="I18" s="439">
        <v>0</v>
      </c>
      <c r="J18" s="439">
        <v>0</v>
      </c>
      <c r="K18" s="440">
        <v>0</v>
      </c>
    </row>
    <row r="19" spans="1:11" x14ac:dyDescent="0.3">
      <c r="A19" s="220">
        <v>10</v>
      </c>
      <c r="B19" s="438" t="s">
        <v>505</v>
      </c>
      <c r="C19" s="209">
        <v>124001629.81999999</v>
      </c>
      <c r="D19" s="439">
        <v>23588682.609999999</v>
      </c>
      <c r="E19" s="439">
        <f>C19+D19</f>
        <v>147590312.43000001</v>
      </c>
      <c r="F19" s="439">
        <v>1281949.6499999999</v>
      </c>
      <c r="G19" s="439">
        <v>52274.214999999997</v>
      </c>
      <c r="H19" s="439">
        <f>F19+G19</f>
        <v>1334223.865</v>
      </c>
      <c r="I19" s="439">
        <v>19697913.66</v>
      </c>
      <c r="J19" s="439">
        <v>12718731.605</v>
      </c>
      <c r="K19" s="440">
        <f>I19+J19</f>
        <v>32416645.265000001</v>
      </c>
    </row>
    <row r="20" spans="1:11" x14ac:dyDescent="0.3">
      <c r="A20" s="220">
        <v>11</v>
      </c>
      <c r="B20" s="438" t="s">
        <v>506</v>
      </c>
      <c r="C20" s="209">
        <v>10962895.9</v>
      </c>
      <c r="D20" s="439">
        <v>2749293</v>
      </c>
      <c r="E20" s="439">
        <f>C20+D20</f>
        <v>13712188.9</v>
      </c>
      <c r="F20" s="439">
        <v>2191428.9699999997</v>
      </c>
      <c r="G20" s="439">
        <v>2704645.67</v>
      </c>
      <c r="H20" s="439">
        <f>F20+G20</f>
        <v>4896074.6399999997</v>
      </c>
      <c r="I20" s="439">
        <v>2191428.9699999997</v>
      </c>
      <c r="J20" s="439">
        <v>2704645.67</v>
      </c>
      <c r="K20" s="440">
        <f>I20+J20</f>
        <v>4896074.6399999997</v>
      </c>
    </row>
    <row r="21" spans="1:11" ht="14.4" thickBot="1" x14ac:dyDescent="0.35">
      <c r="A21" s="442">
        <v>12</v>
      </c>
      <c r="B21" s="443" t="s">
        <v>507</v>
      </c>
      <c r="C21" s="444">
        <f>C19+C20</f>
        <v>134964525.72</v>
      </c>
      <c r="D21" s="444">
        <f t="shared" ref="D21:K21" si="3">D19+D20</f>
        <v>26337975.609999999</v>
      </c>
      <c r="E21" s="444">
        <f t="shared" si="3"/>
        <v>161302501.33000001</v>
      </c>
      <c r="F21" s="444">
        <f t="shared" si="3"/>
        <v>3473378.6199999996</v>
      </c>
      <c r="G21" s="444">
        <f t="shared" si="3"/>
        <v>2756919.8849999998</v>
      </c>
      <c r="H21" s="444">
        <f t="shared" si="3"/>
        <v>6230298.5049999999</v>
      </c>
      <c r="I21" s="444">
        <f t="shared" si="3"/>
        <v>21889342.629999999</v>
      </c>
      <c r="J21" s="444">
        <f t="shared" si="3"/>
        <v>15423377.275</v>
      </c>
      <c r="K21" s="444">
        <f t="shared" si="3"/>
        <v>37312719.905000001</v>
      </c>
    </row>
    <row r="22" spans="1:11" ht="38.25" customHeight="1" thickBot="1" x14ac:dyDescent="0.35">
      <c r="A22" s="445"/>
      <c r="B22" s="446"/>
      <c r="C22" s="446"/>
      <c r="D22" s="446"/>
      <c r="E22" s="446"/>
      <c r="F22" s="853" t="s">
        <v>508</v>
      </c>
      <c r="G22" s="851"/>
      <c r="H22" s="851"/>
      <c r="I22" s="853" t="s">
        <v>509</v>
      </c>
      <c r="J22" s="851"/>
      <c r="K22" s="852"/>
    </row>
    <row r="23" spans="1:11" x14ac:dyDescent="0.3">
      <c r="A23" s="447">
        <v>13</v>
      </c>
      <c r="B23" s="448" t="s">
        <v>494</v>
      </c>
      <c r="C23" s="449"/>
      <c r="D23" s="449"/>
      <c r="E23" s="449"/>
      <c r="F23" s="450">
        <f>F8</f>
        <v>36572173.07</v>
      </c>
      <c r="G23" s="450">
        <f t="shared" ref="G23:K23" si="4">G8</f>
        <v>16415204.02</v>
      </c>
      <c r="H23" s="450">
        <f>F23+G23</f>
        <v>52987377.090000004</v>
      </c>
      <c r="I23" s="450">
        <f t="shared" si="4"/>
        <v>18156209.059999999</v>
      </c>
      <c r="J23" s="450">
        <f t="shared" si="4"/>
        <v>4192053.53</v>
      </c>
      <c r="K23" s="451">
        <f t="shared" si="4"/>
        <v>22348262.59</v>
      </c>
    </row>
    <row r="24" spans="1:11" ht="14.4" thickBot="1" x14ac:dyDescent="0.35">
      <c r="A24" s="452">
        <v>14</v>
      </c>
      <c r="B24" s="453" t="s">
        <v>510</v>
      </c>
      <c r="C24" s="454"/>
      <c r="D24" s="455"/>
      <c r="E24" s="456"/>
      <c r="F24" s="457">
        <v>13921736.163000004</v>
      </c>
      <c r="G24" s="457">
        <v>6410805.1708000004</v>
      </c>
      <c r="H24" s="457">
        <f>F24+G24</f>
        <v>20332541.333800003</v>
      </c>
      <c r="I24" s="457">
        <v>2032425.9016250002</v>
      </c>
      <c r="J24" s="457">
        <v>1200281.3446249999</v>
      </c>
      <c r="K24" s="458">
        <f>I24+J24</f>
        <v>3232707.2462499999</v>
      </c>
    </row>
    <row r="25" spans="1:11" ht="14.4" thickBot="1" x14ac:dyDescent="0.35">
      <c r="A25" s="459">
        <v>15</v>
      </c>
      <c r="B25" s="460" t="s">
        <v>86</v>
      </c>
      <c r="C25" s="461"/>
      <c r="D25" s="461"/>
      <c r="E25" s="461"/>
      <c r="F25" s="462">
        <f>F23/F24</f>
        <v>2.6269836349289815</v>
      </c>
      <c r="G25" s="462">
        <f t="shared" ref="G25:K25" si="5">G23/G24</f>
        <v>2.5605526268007854</v>
      </c>
      <c r="H25" s="462">
        <f t="shared" si="5"/>
        <v>2.6060380854564356</v>
      </c>
      <c r="I25" s="462">
        <f t="shared" si="5"/>
        <v>8.9332698650826252</v>
      </c>
      <c r="J25" s="462">
        <f t="shared" si="5"/>
        <v>3.4925590977253003</v>
      </c>
      <c r="K25" s="463">
        <f t="shared" si="5"/>
        <v>6.913172424111214</v>
      </c>
    </row>
    <row r="28" spans="1:11" ht="41.4" x14ac:dyDescent="0.3">
      <c r="B28" s="87" t="s">
        <v>511</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0A4A8-27F0-4692-9152-4BB99029FFC3}">
  <sheetPr>
    <tabColor theme="2" tint="-9.9978637043366805E-2"/>
  </sheetPr>
  <dimension ref="A1:Q34"/>
  <sheetViews>
    <sheetView zoomScale="80" zoomScaleNormal="80" workbookViewId="0">
      <pane xSplit="1" ySplit="1" topLeftCell="D6" activePane="bottomRight" state="frozen"/>
      <selection activeCell="B15" sqref="B15:C15"/>
      <selection pane="topRight" activeCell="B15" sqref="B15:C15"/>
      <selection pane="bottomLeft" activeCell="B15" sqref="B15:C15"/>
      <selection pane="bottomRight" activeCell="K24" sqref="K24"/>
    </sheetView>
  </sheetViews>
  <sheetFormatPr defaultColWidth="9.33203125" defaultRowHeight="13.8" x14ac:dyDescent="0.3"/>
  <cols>
    <col min="1" max="1" width="10.5546875" style="333" bestFit="1" customWidth="1"/>
    <col min="2" max="2" width="68" style="333" customWidth="1"/>
    <col min="3" max="9" width="15" style="333" customWidth="1"/>
    <col min="10" max="14" width="18.5546875" style="333" customWidth="1"/>
    <col min="15" max="17" width="18.5546875" style="147" customWidth="1"/>
    <col min="18" max="16384" width="9.33203125" style="147"/>
  </cols>
  <sheetData>
    <row r="1" spans="1:17" x14ac:dyDescent="0.3">
      <c r="A1" s="21" t="s">
        <v>44</v>
      </c>
      <c r="B1" s="333" t="str">
        <f>Info!C2</f>
        <v>სს სილქ ბანკი</v>
      </c>
    </row>
    <row r="2" spans="1:17" x14ac:dyDescent="0.3">
      <c r="A2" s="333" t="s">
        <v>45</v>
      </c>
      <c r="B2" s="22">
        <f>'1. key ratios'!B2</f>
        <v>46112</v>
      </c>
    </row>
    <row r="3" spans="1:17" x14ac:dyDescent="0.3">
      <c r="B3" s="147"/>
      <c r="C3" s="147"/>
      <c r="D3" s="147"/>
      <c r="E3" s="147"/>
      <c r="F3" s="147"/>
      <c r="G3" s="147"/>
      <c r="H3" s="147"/>
      <c r="I3" s="147"/>
      <c r="J3" s="147"/>
      <c r="K3" s="147"/>
      <c r="L3" s="147"/>
      <c r="M3" s="147"/>
      <c r="N3" s="147"/>
    </row>
    <row r="4" spans="1:17" ht="14.4" x14ac:dyDescent="0.3">
      <c r="B4" s="464" t="s">
        <v>512</v>
      </c>
      <c r="C4" s="147"/>
      <c r="D4" s="147"/>
      <c r="E4" s="147"/>
      <c r="F4" s="147"/>
      <c r="G4" s="147"/>
      <c r="H4" s="147"/>
      <c r="I4" s="147"/>
      <c r="J4" s="147"/>
      <c r="K4" s="147"/>
      <c r="L4" s="147"/>
      <c r="M4" s="147"/>
      <c r="N4" s="147"/>
    </row>
    <row r="5" spans="1:17" ht="86.4" x14ac:dyDescent="0.3">
      <c r="B5" s="465" t="s">
        <v>513</v>
      </c>
      <c r="C5" s="466" t="s">
        <v>514</v>
      </c>
      <c r="D5" s="466" t="s">
        <v>515</v>
      </c>
      <c r="E5" s="466" t="s">
        <v>516</v>
      </c>
      <c r="F5" s="466" t="s">
        <v>517</v>
      </c>
      <c r="G5" s="466" t="s">
        <v>518</v>
      </c>
      <c r="H5" s="466" t="s">
        <v>519</v>
      </c>
      <c r="I5" s="467" t="s">
        <v>520</v>
      </c>
      <c r="J5" s="468">
        <v>0.02</v>
      </c>
      <c r="K5" s="468">
        <v>0.2</v>
      </c>
      <c r="L5" s="468">
        <v>0.35</v>
      </c>
      <c r="M5" s="468">
        <v>0.5</v>
      </c>
      <c r="N5" s="468">
        <v>0.75</v>
      </c>
      <c r="O5" s="468">
        <v>1</v>
      </c>
      <c r="P5" s="468">
        <v>1.5</v>
      </c>
      <c r="Q5" s="469" t="s">
        <v>30</v>
      </c>
    </row>
    <row r="6" spans="1:17" ht="14.4" x14ac:dyDescent="0.3">
      <c r="B6" s="470"/>
      <c r="C6" s="471">
        <f>IF(C7&gt;0,C7,IF(C8&gt;0,C8,IF(C9&gt;0,C9,0)))</f>
        <v>6749500</v>
      </c>
      <c r="D6" s="471">
        <f t="shared" ref="D6:Q6" si="0">IF(D7&gt;0,D7,IF(D8&gt;0,D8,IF(D9&gt;0,D9,0)))</f>
        <v>307678</v>
      </c>
      <c r="E6" s="471">
        <f t="shared" si="0"/>
        <v>500000</v>
      </c>
      <c r="F6" s="471">
        <f t="shared" si="0"/>
        <v>318758</v>
      </c>
      <c r="G6" s="471">
        <f t="shared" si="0"/>
        <v>66656.792026224473</v>
      </c>
      <c r="H6" s="471"/>
      <c r="I6" s="471">
        <f t="shared" si="0"/>
        <v>539580.70883671427</v>
      </c>
      <c r="J6" s="471">
        <f t="shared" si="0"/>
        <v>0</v>
      </c>
      <c r="K6" s="471">
        <f t="shared" si="0"/>
        <v>0</v>
      </c>
      <c r="L6" s="471">
        <f t="shared" si="0"/>
        <v>0</v>
      </c>
      <c r="M6" s="471">
        <f t="shared" si="0"/>
        <v>537976.86711484962</v>
      </c>
      <c r="N6" s="471">
        <f t="shared" si="0"/>
        <v>0</v>
      </c>
      <c r="O6" s="471">
        <f t="shared" si="0"/>
        <v>1603.8417218645582</v>
      </c>
      <c r="P6" s="471">
        <f t="shared" si="0"/>
        <v>0</v>
      </c>
      <c r="Q6" s="471">
        <f t="shared" si="0"/>
        <v>270592.27527928934</v>
      </c>
    </row>
    <row r="7" spans="1:17" ht="14.4" x14ac:dyDescent="0.3">
      <c r="B7" s="472" t="s">
        <v>521</v>
      </c>
      <c r="C7" s="471">
        <f>C11+C15+C19+C23+C27+C31</f>
        <v>6749500</v>
      </c>
      <c r="D7" s="471">
        <f>D11+D15+D19+D23+D27+D31</f>
        <v>307678</v>
      </c>
      <c r="E7" s="471">
        <f t="shared" ref="E7:G9" si="1">E11+E15+E19+E23+E27+E31</f>
        <v>500000</v>
      </c>
      <c r="F7" s="471">
        <f t="shared" si="1"/>
        <v>318758</v>
      </c>
      <c r="G7" s="471">
        <f t="shared" si="1"/>
        <v>66656.792026224473</v>
      </c>
      <c r="H7" s="473">
        <v>1.4</v>
      </c>
      <c r="I7" s="474">
        <f t="shared" ref="I7:I33" si="2">(F7+G7)*H7</f>
        <v>539580.70883671427</v>
      </c>
      <c r="J7" s="471">
        <f>J11+J15+J19+J23+J27+J31</f>
        <v>0</v>
      </c>
      <c r="K7" s="471">
        <f t="shared" ref="J7:Q9" si="3">K11+K15+K19+K23+K27+K31</f>
        <v>0</v>
      </c>
      <c r="L7" s="471">
        <f t="shared" si="3"/>
        <v>0</v>
      </c>
      <c r="M7" s="471">
        <f t="shared" si="3"/>
        <v>537976.86711484962</v>
      </c>
      <c r="N7" s="471">
        <f t="shared" si="3"/>
        <v>0</v>
      </c>
      <c r="O7" s="471">
        <f t="shared" si="3"/>
        <v>1603.8417218645582</v>
      </c>
      <c r="P7" s="471">
        <f t="shared" si="3"/>
        <v>0</v>
      </c>
      <c r="Q7" s="471">
        <f>Q11+Q15+Q19+Q23+Q27+Q31</f>
        <v>270592.27527928934</v>
      </c>
    </row>
    <row r="8" spans="1:17" ht="14.4" x14ac:dyDescent="0.3">
      <c r="B8" s="472" t="s">
        <v>522</v>
      </c>
      <c r="C8" s="471">
        <f>C12+C16+C20+C24+C28+C32</f>
        <v>0</v>
      </c>
      <c r="D8" s="471">
        <f>D12+D16+D20+D24+D28+D32</f>
        <v>0</v>
      </c>
      <c r="E8" s="471">
        <f t="shared" si="1"/>
        <v>0</v>
      </c>
      <c r="F8" s="471">
        <f t="shared" si="1"/>
        <v>0</v>
      </c>
      <c r="G8" s="471">
        <f t="shared" si="1"/>
        <v>0</v>
      </c>
      <c r="H8" s="473">
        <v>1.4</v>
      </c>
      <c r="I8" s="474">
        <f t="shared" si="2"/>
        <v>0</v>
      </c>
      <c r="J8" s="471">
        <f t="shared" si="3"/>
        <v>0</v>
      </c>
      <c r="K8" s="471">
        <f t="shared" si="3"/>
        <v>0</v>
      </c>
      <c r="L8" s="471">
        <f t="shared" si="3"/>
        <v>0</v>
      </c>
      <c r="M8" s="471">
        <f t="shared" si="3"/>
        <v>0</v>
      </c>
      <c r="N8" s="471">
        <f t="shared" si="3"/>
        <v>0</v>
      </c>
      <c r="O8" s="471">
        <f t="shared" si="3"/>
        <v>0</v>
      </c>
      <c r="P8" s="471">
        <f t="shared" si="3"/>
        <v>0</v>
      </c>
      <c r="Q8" s="471">
        <f>Q12+Q16+Q20+Q24+Q28+Q32</f>
        <v>0</v>
      </c>
    </row>
    <row r="9" spans="1:17" ht="14.4" x14ac:dyDescent="0.3">
      <c r="B9" s="472" t="s">
        <v>523</v>
      </c>
      <c r="C9" s="471">
        <f>C13+C17+C21+C25+C29+C33</f>
        <v>0</v>
      </c>
      <c r="D9" s="471">
        <f t="shared" ref="D9:E9" si="4">D13+D17+D21+D25+D29+D33</f>
        <v>0</v>
      </c>
      <c r="E9" s="471">
        <f t="shared" si="4"/>
        <v>0</v>
      </c>
      <c r="F9" s="471">
        <f t="shared" si="1"/>
        <v>0</v>
      </c>
      <c r="G9" s="471">
        <f t="shared" si="1"/>
        <v>0</v>
      </c>
      <c r="H9" s="473">
        <v>1.4</v>
      </c>
      <c r="I9" s="474">
        <f t="shared" si="2"/>
        <v>0</v>
      </c>
      <c r="J9" s="471">
        <f t="shared" si="3"/>
        <v>0</v>
      </c>
      <c r="K9" s="471">
        <f t="shared" si="3"/>
        <v>0</v>
      </c>
      <c r="L9" s="471">
        <f t="shared" si="3"/>
        <v>0</v>
      </c>
      <c r="M9" s="471">
        <f t="shared" si="3"/>
        <v>0</v>
      </c>
      <c r="N9" s="471">
        <f t="shared" si="3"/>
        <v>0</v>
      </c>
      <c r="O9" s="471">
        <f t="shared" si="3"/>
        <v>0</v>
      </c>
      <c r="P9" s="471">
        <f t="shared" si="3"/>
        <v>0</v>
      </c>
      <c r="Q9" s="471">
        <f t="shared" si="3"/>
        <v>0</v>
      </c>
    </row>
    <row r="10" spans="1:17" ht="14.4" x14ac:dyDescent="0.3">
      <c r="B10" s="475" t="s">
        <v>524</v>
      </c>
      <c r="C10" s="791"/>
      <c r="D10" s="791"/>
      <c r="E10" s="791"/>
      <c r="F10" s="791"/>
      <c r="G10" s="791"/>
      <c r="H10" s="473">
        <v>1.4</v>
      </c>
      <c r="I10" s="474">
        <f t="shared" si="2"/>
        <v>0</v>
      </c>
      <c r="J10" s="791"/>
      <c r="K10" s="791"/>
      <c r="L10" s="791"/>
      <c r="M10" s="791"/>
      <c r="N10" s="791"/>
      <c r="O10" s="791"/>
      <c r="P10" s="791"/>
      <c r="Q10" s="471">
        <f>IF(Q11&gt;0,Q11,IF(Q12&gt;0,Q12,IF(Q13&gt;0,Q13,0)))</f>
        <v>0</v>
      </c>
    </row>
    <row r="11" spans="1:17" ht="14.4" x14ac:dyDescent="0.3">
      <c r="B11" s="476" t="s">
        <v>521</v>
      </c>
      <c r="C11" s="791"/>
      <c r="D11" s="791"/>
      <c r="E11" s="791"/>
      <c r="F11" s="791"/>
      <c r="G11" s="791"/>
      <c r="H11" s="473">
        <v>1.4</v>
      </c>
      <c r="I11" s="474">
        <f t="shared" si="2"/>
        <v>0</v>
      </c>
      <c r="J11" s="791"/>
      <c r="K11" s="791"/>
      <c r="L11" s="791"/>
      <c r="M11" s="791"/>
      <c r="N11" s="791"/>
      <c r="O11" s="791"/>
      <c r="P11" s="791"/>
      <c r="Q11" s="471">
        <f>SUMPRODUCT($J$5:$P$5,J11:P11)</f>
        <v>0</v>
      </c>
    </row>
    <row r="12" spans="1:17" ht="14.4" x14ac:dyDescent="0.3">
      <c r="B12" s="476" t="s">
        <v>522</v>
      </c>
      <c r="C12" s="791"/>
      <c r="D12" s="791"/>
      <c r="E12" s="791"/>
      <c r="F12" s="791"/>
      <c r="G12" s="791"/>
      <c r="H12" s="473">
        <v>1.4</v>
      </c>
      <c r="I12" s="474">
        <f t="shared" si="2"/>
        <v>0</v>
      </c>
      <c r="J12" s="791"/>
      <c r="K12" s="791"/>
      <c r="L12" s="791"/>
      <c r="M12" s="791"/>
      <c r="N12" s="791"/>
      <c r="O12" s="791"/>
      <c r="P12" s="791"/>
      <c r="Q12" s="471">
        <f>SUMPRODUCT($J$5:$P$5,J12:P12)</f>
        <v>0</v>
      </c>
    </row>
    <row r="13" spans="1:17" ht="14.4" x14ac:dyDescent="0.3">
      <c r="B13" s="476" t="s">
        <v>523</v>
      </c>
      <c r="C13" s="791"/>
      <c r="D13" s="791"/>
      <c r="E13" s="791"/>
      <c r="F13" s="791"/>
      <c r="G13" s="791"/>
      <c r="H13" s="473">
        <v>1.4</v>
      </c>
      <c r="I13" s="474">
        <f t="shared" si="2"/>
        <v>0</v>
      </c>
      <c r="J13" s="791"/>
      <c r="K13" s="791"/>
      <c r="L13" s="791"/>
      <c r="M13" s="791"/>
      <c r="N13" s="791"/>
      <c r="O13" s="791"/>
      <c r="P13" s="791"/>
      <c r="Q13" s="471">
        <f>SUMPRODUCT($J$5:$P$5,J13:P13)</f>
        <v>0</v>
      </c>
    </row>
    <row r="14" spans="1:17" ht="14.4" x14ac:dyDescent="0.3">
      <c r="B14" s="475" t="s">
        <v>525</v>
      </c>
      <c r="C14" s="791"/>
      <c r="D14" s="791"/>
      <c r="E14" s="791"/>
      <c r="F14" s="791"/>
      <c r="G14" s="791"/>
      <c r="H14" s="473">
        <v>1.4</v>
      </c>
      <c r="I14" s="474">
        <f t="shared" si="2"/>
        <v>0</v>
      </c>
      <c r="J14" s="791"/>
      <c r="K14" s="791"/>
      <c r="L14" s="791"/>
      <c r="M14" s="791"/>
      <c r="N14" s="791"/>
      <c r="O14" s="791"/>
      <c r="P14" s="791"/>
      <c r="Q14" s="471">
        <f>IF(Q15&gt;0,Q15,IF(Q16&gt;0,Q16,IF(Q17&gt;0,Q17,0)))</f>
        <v>0</v>
      </c>
    </row>
    <row r="15" spans="1:17" ht="14.4" x14ac:dyDescent="0.3">
      <c r="B15" s="476" t="s">
        <v>521</v>
      </c>
      <c r="C15" s="791"/>
      <c r="D15" s="791"/>
      <c r="E15" s="791"/>
      <c r="F15" s="791"/>
      <c r="G15" s="791"/>
      <c r="H15" s="473">
        <v>1.4</v>
      </c>
      <c r="I15" s="474">
        <f t="shared" si="2"/>
        <v>0</v>
      </c>
      <c r="J15" s="791"/>
      <c r="K15" s="791"/>
      <c r="L15" s="791"/>
      <c r="M15" s="791"/>
      <c r="N15" s="791"/>
      <c r="O15" s="791"/>
      <c r="P15" s="791"/>
      <c r="Q15" s="471">
        <f>SUMPRODUCT($J$5:$P$5,J15:P15)</f>
        <v>0</v>
      </c>
    </row>
    <row r="16" spans="1:17" ht="14.4" x14ac:dyDescent="0.3">
      <c r="B16" s="476" t="s">
        <v>522</v>
      </c>
      <c r="C16" s="791"/>
      <c r="D16" s="791"/>
      <c r="E16" s="791"/>
      <c r="F16" s="791"/>
      <c r="G16" s="791"/>
      <c r="H16" s="473">
        <v>1.4</v>
      </c>
      <c r="I16" s="474">
        <f t="shared" si="2"/>
        <v>0</v>
      </c>
      <c r="J16" s="791"/>
      <c r="K16" s="791"/>
      <c r="L16" s="791"/>
      <c r="M16" s="791"/>
      <c r="N16" s="791"/>
      <c r="O16" s="791"/>
      <c r="P16" s="791"/>
      <c r="Q16" s="471">
        <f t="shared" ref="Q16:Q17" si="5">SUMPRODUCT($J$5:$P$5,J16:P16)</f>
        <v>0</v>
      </c>
    </row>
    <row r="17" spans="2:17" ht="14.4" x14ac:dyDescent="0.3">
      <c r="B17" s="476" t="s">
        <v>523</v>
      </c>
      <c r="C17" s="791"/>
      <c r="D17" s="791"/>
      <c r="E17" s="791"/>
      <c r="F17" s="791"/>
      <c r="G17" s="791"/>
      <c r="H17" s="473">
        <v>1.4</v>
      </c>
      <c r="I17" s="474">
        <f t="shared" si="2"/>
        <v>0</v>
      </c>
      <c r="J17" s="791"/>
      <c r="K17" s="791"/>
      <c r="L17" s="791"/>
      <c r="M17" s="791"/>
      <c r="N17" s="791"/>
      <c r="O17" s="791"/>
      <c r="P17" s="791"/>
      <c r="Q17" s="471">
        <f t="shared" si="5"/>
        <v>0</v>
      </c>
    </row>
    <row r="18" spans="2:17" ht="14.4" x14ac:dyDescent="0.3">
      <c r="B18" s="475" t="s">
        <v>526</v>
      </c>
      <c r="C18" s="791"/>
      <c r="D18" s="791"/>
      <c r="E18" s="791"/>
      <c r="F18" s="791"/>
      <c r="G18" s="791"/>
      <c r="H18" s="473">
        <v>1.4</v>
      </c>
      <c r="I18" s="474">
        <f t="shared" si="2"/>
        <v>0</v>
      </c>
      <c r="J18" s="791"/>
      <c r="K18" s="791"/>
      <c r="L18" s="791"/>
      <c r="M18" s="791"/>
      <c r="N18" s="791"/>
      <c r="O18" s="791"/>
      <c r="P18" s="791"/>
      <c r="Q18" s="471">
        <f t="shared" ref="Q18" si="6">IF(Q19&gt;0,Q19,IF(Q20&gt;0,Q20,IF(Q21&gt;0,Q21,0)))</f>
        <v>268988.43355742481</v>
      </c>
    </row>
    <row r="19" spans="2:17" ht="14.4" x14ac:dyDescent="0.3">
      <c r="B19" s="476" t="s">
        <v>521</v>
      </c>
      <c r="C19" s="791">
        <v>5399600</v>
      </c>
      <c r="D19" s="791">
        <v>318758</v>
      </c>
      <c r="E19" s="791">
        <v>0</v>
      </c>
      <c r="F19" s="791">
        <v>318758</v>
      </c>
      <c r="G19" s="791">
        <v>65511.190796321214</v>
      </c>
      <c r="H19" s="473">
        <v>1.4</v>
      </c>
      <c r="I19" s="474">
        <f t="shared" si="2"/>
        <v>537976.86711484962</v>
      </c>
      <c r="J19" s="791">
        <v>0</v>
      </c>
      <c r="K19" s="791">
        <v>0</v>
      </c>
      <c r="L19" s="791">
        <v>0</v>
      </c>
      <c r="M19" s="791">
        <v>537976.86711484962</v>
      </c>
      <c r="N19" s="791">
        <v>0</v>
      </c>
      <c r="O19" s="791"/>
      <c r="P19" s="791">
        <v>0</v>
      </c>
      <c r="Q19" s="471">
        <f>SUMPRODUCT($J$5:$P$5,J19:P19)</f>
        <v>268988.43355742481</v>
      </c>
    </row>
    <row r="20" spans="2:17" ht="14.4" x14ac:dyDescent="0.3">
      <c r="B20" s="476" t="s">
        <v>522</v>
      </c>
      <c r="C20" s="791"/>
      <c r="D20" s="791"/>
      <c r="E20" s="791"/>
      <c r="F20" s="791"/>
      <c r="G20" s="791"/>
      <c r="H20" s="473">
        <v>1.4</v>
      </c>
      <c r="I20" s="474">
        <f t="shared" si="2"/>
        <v>0</v>
      </c>
      <c r="J20" s="791"/>
      <c r="K20" s="791"/>
      <c r="L20" s="791"/>
      <c r="M20" s="791"/>
      <c r="N20" s="791"/>
      <c r="O20" s="791"/>
      <c r="P20" s="791"/>
      <c r="Q20" s="471">
        <f t="shared" ref="Q20:Q21" si="7">SUMPRODUCT($J$5:$P$5,J20:P20)</f>
        <v>0</v>
      </c>
    </row>
    <row r="21" spans="2:17" ht="14.4" x14ac:dyDescent="0.3">
      <c r="B21" s="476" t="s">
        <v>523</v>
      </c>
      <c r="C21" s="791"/>
      <c r="D21" s="791"/>
      <c r="E21" s="791"/>
      <c r="F21" s="791"/>
      <c r="G21" s="791"/>
      <c r="H21" s="473">
        <v>1.4</v>
      </c>
      <c r="I21" s="474">
        <f t="shared" si="2"/>
        <v>0</v>
      </c>
      <c r="J21" s="791"/>
      <c r="K21" s="791"/>
      <c r="L21" s="791"/>
      <c r="M21" s="791"/>
      <c r="N21" s="791"/>
      <c r="O21" s="791"/>
      <c r="P21" s="791"/>
      <c r="Q21" s="471">
        <f t="shared" si="7"/>
        <v>0</v>
      </c>
    </row>
    <row r="22" spans="2:17" ht="14.4" x14ac:dyDescent="0.3">
      <c r="B22" s="475" t="s">
        <v>527</v>
      </c>
      <c r="C22" s="791"/>
      <c r="D22" s="791"/>
      <c r="E22" s="791"/>
      <c r="F22" s="791"/>
      <c r="G22" s="791"/>
      <c r="H22" s="473">
        <v>1.4</v>
      </c>
      <c r="I22" s="474">
        <f t="shared" si="2"/>
        <v>0</v>
      </c>
      <c r="J22" s="791"/>
      <c r="K22" s="791"/>
      <c r="L22" s="791"/>
      <c r="M22" s="791"/>
      <c r="N22" s="791"/>
      <c r="O22" s="791"/>
      <c r="P22" s="791"/>
      <c r="Q22" s="471">
        <f t="shared" ref="Q22" si="8">IF(Q23&gt;0,Q23,IF(Q24&gt;0,Q24,IF(Q25&gt;0,Q25,0)))</f>
        <v>0</v>
      </c>
    </row>
    <row r="23" spans="2:17" ht="14.4" x14ac:dyDescent="0.3">
      <c r="B23" s="476" t="s">
        <v>521</v>
      </c>
      <c r="C23" s="791"/>
      <c r="D23" s="791"/>
      <c r="E23" s="791"/>
      <c r="F23" s="791"/>
      <c r="G23" s="791"/>
      <c r="H23" s="473">
        <v>1.4</v>
      </c>
      <c r="I23" s="474">
        <f t="shared" si="2"/>
        <v>0</v>
      </c>
      <c r="J23" s="791"/>
      <c r="K23" s="791"/>
      <c r="L23" s="791"/>
      <c r="M23" s="791"/>
      <c r="N23" s="791"/>
      <c r="O23" s="791"/>
      <c r="P23" s="791"/>
      <c r="Q23" s="471">
        <f>SUMPRODUCT($J$5:$P$5,J23:P23)</f>
        <v>0</v>
      </c>
    </row>
    <row r="24" spans="2:17" ht="14.4" x14ac:dyDescent="0.3">
      <c r="B24" s="476" t="s">
        <v>522</v>
      </c>
      <c r="C24" s="791"/>
      <c r="D24" s="791"/>
      <c r="E24" s="791"/>
      <c r="F24" s="791"/>
      <c r="G24" s="791"/>
      <c r="H24" s="473">
        <v>1.4</v>
      </c>
      <c r="I24" s="474">
        <f t="shared" si="2"/>
        <v>0</v>
      </c>
      <c r="J24" s="791"/>
      <c r="K24" s="791"/>
      <c r="L24" s="791"/>
      <c r="M24" s="791"/>
      <c r="N24" s="791"/>
      <c r="O24" s="791"/>
      <c r="P24" s="791"/>
      <c r="Q24" s="471">
        <f t="shared" ref="Q24:Q25" si="9">SUMPRODUCT($J$5:$P$5,J24:P24)</f>
        <v>0</v>
      </c>
    </row>
    <row r="25" spans="2:17" ht="14.4" x14ac:dyDescent="0.3">
      <c r="B25" s="476" t="s">
        <v>523</v>
      </c>
      <c r="C25" s="791"/>
      <c r="D25" s="791"/>
      <c r="E25" s="791"/>
      <c r="F25" s="791"/>
      <c r="G25" s="791"/>
      <c r="H25" s="473">
        <v>1.4</v>
      </c>
      <c r="I25" s="474">
        <f t="shared" si="2"/>
        <v>0</v>
      </c>
      <c r="J25" s="791"/>
      <c r="K25" s="791"/>
      <c r="L25" s="791"/>
      <c r="M25" s="791"/>
      <c r="N25" s="791"/>
      <c r="O25" s="791"/>
      <c r="P25" s="791"/>
      <c r="Q25" s="471">
        <f t="shared" si="9"/>
        <v>0</v>
      </c>
    </row>
    <row r="26" spans="2:17" ht="14.4" x14ac:dyDescent="0.3">
      <c r="B26" s="475" t="s">
        <v>528</v>
      </c>
      <c r="C26" s="791">
        <f>C27</f>
        <v>1349900</v>
      </c>
      <c r="D26" s="791">
        <v>-11080</v>
      </c>
      <c r="E26" s="791">
        <f>E27</f>
        <v>500000</v>
      </c>
      <c r="F26" s="791">
        <f>F27</f>
        <v>0</v>
      </c>
      <c r="G26" s="791">
        <f>G27</f>
        <v>1145.6012299032559</v>
      </c>
      <c r="H26" s="473">
        <v>1.4</v>
      </c>
      <c r="I26" s="474">
        <f t="shared" si="2"/>
        <v>1603.8417218645582</v>
      </c>
      <c r="J26" s="791"/>
      <c r="K26" s="791"/>
      <c r="L26" s="791"/>
      <c r="M26" s="791"/>
      <c r="N26" s="791"/>
      <c r="O26" s="791"/>
      <c r="P26" s="791"/>
      <c r="Q26" s="471">
        <f t="shared" ref="Q26" si="10">IF(Q27&gt;0,Q27,IF(Q28&gt;0,Q28,IF(Q29&gt;0,Q29,0)))</f>
        <v>1603.8417218645582</v>
      </c>
    </row>
    <row r="27" spans="2:17" ht="14.4" x14ac:dyDescent="0.3">
      <c r="B27" s="476" t="s">
        <v>521</v>
      </c>
      <c r="C27" s="792">
        <v>1349900</v>
      </c>
      <c r="D27" s="791">
        <v>-11080</v>
      </c>
      <c r="E27" s="791">
        <v>500000</v>
      </c>
      <c r="F27" s="791">
        <v>0</v>
      </c>
      <c r="G27" s="791">
        <v>1145.6012299032559</v>
      </c>
      <c r="H27" s="473">
        <v>1.4</v>
      </c>
      <c r="I27" s="474">
        <f t="shared" si="2"/>
        <v>1603.8417218645582</v>
      </c>
      <c r="J27" s="791">
        <v>0</v>
      </c>
      <c r="K27" s="791">
        <v>0</v>
      </c>
      <c r="L27" s="791">
        <v>0</v>
      </c>
      <c r="M27" s="791">
        <v>0</v>
      </c>
      <c r="N27" s="791"/>
      <c r="O27" s="791">
        <v>1603.8417218645582</v>
      </c>
      <c r="P27" s="791">
        <v>0</v>
      </c>
      <c r="Q27" s="471">
        <f>SUMPRODUCT($J$5:$P$5,J27:P27)</f>
        <v>1603.8417218645582</v>
      </c>
    </row>
    <row r="28" spans="2:17" ht="14.4" x14ac:dyDescent="0.3">
      <c r="B28" s="476" t="s">
        <v>522</v>
      </c>
      <c r="C28" s="791"/>
      <c r="D28" s="791"/>
      <c r="E28" s="791"/>
      <c r="F28" s="791"/>
      <c r="G28" s="791"/>
      <c r="H28" s="473">
        <v>1.4</v>
      </c>
      <c r="I28" s="474">
        <f t="shared" si="2"/>
        <v>0</v>
      </c>
      <c r="J28" s="791"/>
      <c r="K28" s="791"/>
      <c r="L28" s="791"/>
      <c r="M28" s="791"/>
      <c r="N28" s="791"/>
      <c r="O28" s="791"/>
      <c r="P28" s="791"/>
      <c r="Q28" s="471">
        <f t="shared" ref="Q28:Q29" si="11">SUMPRODUCT($J$5:$P$5,J28:P28)</f>
        <v>0</v>
      </c>
    </row>
    <row r="29" spans="2:17" ht="14.4" x14ac:dyDescent="0.3">
      <c r="B29" s="476" t="s">
        <v>523</v>
      </c>
      <c r="C29" s="791"/>
      <c r="D29" s="791"/>
      <c r="E29" s="791"/>
      <c r="F29" s="791"/>
      <c r="G29" s="791"/>
      <c r="H29" s="473">
        <v>1.4</v>
      </c>
      <c r="I29" s="474">
        <f t="shared" si="2"/>
        <v>0</v>
      </c>
      <c r="J29" s="791"/>
      <c r="K29" s="791"/>
      <c r="L29" s="791"/>
      <c r="M29" s="791"/>
      <c r="N29" s="791"/>
      <c r="O29" s="791"/>
      <c r="P29" s="791"/>
      <c r="Q29" s="471">
        <f t="shared" si="11"/>
        <v>0</v>
      </c>
    </row>
    <row r="30" spans="2:17" ht="14.4" x14ac:dyDescent="0.3">
      <c r="B30" s="477" t="s">
        <v>529</v>
      </c>
      <c r="C30" s="791"/>
      <c r="D30" s="791"/>
      <c r="E30" s="791"/>
      <c r="F30" s="791"/>
      <c r="G30" s="791"/>
      <c r="H30" s="473">
        <v>1.4</v>
      </c>
      <c r="I30" s="474">
        <f t="shared" si="2"/>
        <v>0</v>
      </c>
      <c r="J30" s="791"/>
      <c r="K30" s="791"/>
      <c r="L30" s="791"/>
      <c r="M30" s="791"/>
      <c r="N30" s="791"/>
      <c r="O30" s="791"/>
      <c r="P30" s="791"/>
      <c r="Q30" s="471">
        <f t="shared" ref="Q30" si="12">IF(Q31&gt;0,Q31,IF(Q32&gt;0,Q32,IF(Q33&gt;0,Q33,0)))</f>
        <v>0</v>
      </c>
    </row>
    <row r="31" spans="2:17" ht="14.4" x14ac:dyDescent="0.3">
      <c r="B31" s="476" t="s">
        <v>521</v>
      </c>
      <c r="C31" s="791"/>
      <c r="D31" s="791"/>
      <c r="E31" s="791"/>
      <c r="F31" s="791"/>
      <c r="G31" s="791"/>
      <c r="H31" s="473">
        <v>1.4</v>
      </c>
      <c r="I31" s="474">
        <f t="shared" si="2"/>
        <v>0</v>
      </c>
      <c r="J31" s="791"/>
      <c r="K31" s="791"/>
      <c r="L31" s="791"/>
      <c r="M31" s="791"/>
      <c r="N31" s="791"/>
      <c r="O31" s="791"/>
      <c r="P31" s="791"/>
      <c r="Q31" s="471">
        <f>SUMPRODUCT($J$5:$P$5,J31:P31)</f>
        <v>0</v>
      </c>
    </row>
    <row r="32" spans="2:17" ht="14.4" x14ac:dyDescent="0.3">
      <c r="B32" s="476" t="s">
        <v>522</v>
      </c>
      <c r="C32" s="791"/>
      <c r="D32" s="791"/>
      <c r="E32" s="791"/>
      <c r="F32" s="791"/>
      <c r="G32" s="791"/>
      <c r="H32" s="473">
        <v>1.4</v>
      </c>
      <c r="I32" s="474">
        <f t="shared" si="2"/>
        <v>0</v>
      </c>
      <c r="J32" s="791"/>
      <c r="K32" s="791"/>
      <c r="L32" s="791"/>
      <c r="M32" s="791"/>
      <c r="N32" s="791"/>
      <c r="O32" s="791"/>
      <c r="P32" s="791"/>
      <c r="Q32" s="471">
        <f t="shared" ref="Q32:Q33" si="13">SUMPRODUCT($J$5:$P$5,J32:P32)</f>
        <v>0</v>
      </c>
    </row>
    <row r="33" spans="2:17" ht="14.4" x14ac:dyDescent="0.3">
      <c r="B33" s="476" t="s">
        <v>523</v>
      </c>
      <c r="C33" s="791"/>
      <c r="D33" s="791"/>
      <c r="E33" s="791"/>
      <c r="F33" s="791"/>
      <c r="G33" s="791"/>
      <c r="H33" s="473">
        <v>1.4</v>
      </c>
      <c r="I33" s="474">
        <f t="shared" si="2"/>
        <v>0</v>
      </c>
      <c r="J33" s="791"/>
      <c r="K33" s="791"/>
      <c r="L33" s="791"/>
      <c r="M33" s="791"/>
      <c r="N33" s="791"/>
      <c r="O33" s="791"/>
      <c r="P33" s="791"/>
      <c r="Q33" s="471">
        <f t="shared" si="13"/>
        <v>0</v>
      </c>
    </row>
    <row r="34" spans="2:17" ht="14.4" x14ac:dyDescent="0.3">
      <c r="B34" s="478" t="s">
        <v>96</v>
      </c>
      <c r="C34" s="479">
        <f>C6</f>
        <v>6749500</v>
      </c>
      <c r="D34" s="479">
        <f t="shared" ref="D34:G34" si="14">D6</f>
        <v>307678</v>
      </c>
      <c r="E34" s="479">
        <f t="shared" si="14"/>
        <v>500000</v>
      </c>
      <c r="F34" s="479">
        <f t="shared" si="14"/>
        <v>318758</v>
      </c>
      <c r="G34" s="479">
        <f t="shared" si="14"/>
        <v>66656.792026224473</v>
      </c>
      <c r="H34" s="473">
        <v>1.4</v>
      </c>
      <c r="I34" s="474">
        <f>(F34+G34)*H34</f>
        <v>539580.70883671427</v>
      </c>
      <c r="J34" s="479">
        <f t="shared" ref="J34:Q34" si="15">J6</f>
        <v>0</v>
      </c>
      <c r="K34" s="479">
        <f t="shared" si="15"/>
        <v>0</v>
      </c>
      <c r="L34" s="479">
        <f t="shared" si="15"/>
        <v>0</v>
      </c>
      <c r="M34" s="479">
        <f t="shared" si="15"/>
        <v>537976.86711484962</v>
      </c>
      <c r="N34" s="479">
        <f t="shared" si="15"/>
        <v>0</v>
      </c>
      <c r="O34" s="479">
        <f t="shared" si="15"/>
        <v>1603.8417218645582</v>
      </c>
      <c r="P34" s="479">
        <f t="shared" si="15"/>
        <v>0</v>
      </c>
      <c r="Q34" s="479">
        <f t="shared" si="15"/>
        <v>270592.27527928934</v>
      </c>
    </row>
  </sheetData>
  <conditionalFormatting sqref="I7:I34">
    <cfRule type="expression" dxfId="27"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8CF4-1651-4BFE-9443-F861AAD59F71}">
  <sheetPr>
    <tabColor theme="2" tint="-9.9978637043366805E-2"/>
  </sheetPr>
  <dimension ref="A1:G53"/>
  <sheetViews>
    <sheetView zoomScale="85" zoomScaleNormal="85" workbookViewId="0">
      <pane xSplit="1" ySplit="5" topLeftCell="B26" activePane="bottomRight" state="frozen"/>
      <selection activeCell="B15" sqref="B15:C15"/>
      <selection pane="topRight" activeCell="B15" sqref="B15:C15"/>
      <selection pane="bottomLeft" activeCell="B15" sqref="B15:C15"/>
      <selection pane="bottomRight" activeCell="C8" sqref="C8:G50"/>
    </sheetView>
  </sheetViews>
  <sheetFormatPr defaultRowHeight="14.4" x14ac:dyDescent="0.3"/>
  <cols>
    <col min="1" max="1" width="9.5546875" style="86" bestFit="1" customWidth="1"/>
    <col min="2" max="2" width="88.33203125" style="21" customWidth="1"/>
    <col min="3" max="3" width="12.6640625" style="21" customWidth="1"/>
    <col min="4" max="7" width="12.6640625" style="18" customWidth="1"/>
    <col min="8" max="9" width="6.6640625" customWidth="1"/>
  </cols>
  <sheetData>
    <row r="1" spans="1:7" x14ac:dyDescent="0.3">
      <c r="A1" s="19" t="s">
        <v>44</v>
      </c>
      <c r="B1" s="20" t="s">
        <v>2</v>
      </c>
    </row>
    <row r="2" spans="1:7" x14ac:dyDescent="0.3">
      <c r="A2" s="19" t="s">
        <v>45</v>
      </c>
      <c r="B2" s="22">
        <v>46112</v>
      </c>
    </row>
    <row r="3" spans="1:7" ht="15" thickBot="1" x14ac:dyDescent="0.35">
      <c r="A3" s="19"/>
    </row>
    <row r="4" spans="1:7" ht="15" customHeight="1" thickBot="1" x14ac:dyDescent="0.35">
      <c r="A4" s="23" t="s">
        <v>46</v>
      </c>
      <c r="B4" s="24" t="s">
        <v>12</v>
      </c>
      <c r="C4" s="25"/>
      <c r="D4" s="795" t="s">
        <v>47</v>
      </c>
      <c r="E4" s="796"/>
      <c r="F4" s="796"/>
      <c r="G4" s="797"/>
    </row>
    <row r="5" spans="1:7" x14ac:dyDescent="0.3">
      <c r="A5" s="26" t="s">
        <v>48</v>
      </c>
      <c r="B5" s="27"/>
      <c r="C5" s="28" t="str">
        <f>INT((MONTH($B$2))/3)&amp;"Q"&amp;"-"&amp;YEAR($B$2)</f>
        <v>1Q-2026</v>
      </c>
      <c r="D5" s="28" t="str">
        <f>IF(INT(MONTH($B$2))=3, "4"&amp;"Q"&amp;"-"&amp;YEAR($B$2)-1, IF(INT(MONTH($B$2))=6, "1"&amp;"Q"&amp;"-"&amp;YEAR($B$2), IF(INT(MONTH($B$2))=9, "2"&amp;"Q"&amp;"-"&amp;YEAR($B$2),IF(INT(MONTH($B$2))=12, "3"&amp;"Q"&amp;"-"&amp;YEAR($B$2), 0))))</f>
        <v>4Q-2025</v>
      </c>
      <c r="E5" s="28" t="str">
        <f>IF(INT(MONTH($B$2))=3, "3"&amp;"Q"&amp;"-"&amp;YEAR($B$2)-1, IF(INT(MONTH($B$2))=6, "4"&amp;"Q"&amp;"-"&amp;YEAR($B$2)-1, IF(INT(MONTH($B$2))=9, "1"&amp;"Q"&amp;"-"&amp;YEAR($B$2),IF(INT(MONTH($B$2))=12, "2"&amp;"Q"&amp;"-"&amp;YEAR($B$2), 0))))</f>
        <v>3Q-2025</v>
      </c>
      <c r="F5" s="28" t="str">
        <f>IF(INT(MONTH($B$2))=3, "2"&amp;"Q"&amp;"-"&amp;YEAR($B$2)-1, IF(INT(MONTH($B$2))=6, "3"&amp;"Q"&amp;"-"&amp;YEAR($B$2)-1, IF(INT(MONTH($B$2))=9, "4"&amp;"Q"&amp;"-"&amp;YEAR($B$2)-1,IF(INT(MONTH($B$2))=12, "1"&amp;"Q"&amp;"-"&amp;YEAR($B$2), 0))))</f>
        <v>2Q-2025</v>
      </c>
      <c r="G5" s="29" t="str">
        <f>IF(INT(MONTH($B$2))=3, "1"&amp;"Q"&amp;"-"&amp;YEAR($B$2)-1, IF(INT(MONTH($B$2))=6, "2"&amp;"Q"&amp;"-"&amp;YEAR($B$2)-1, IF(INT(MONTH($B$2))=9, "3"&amp;"Q"&amp;"-"&amp;YEAR($B$2)-1,IF(INT(MONTH($B$2))=12, "4"&amp;"Q"&amp;"-"&amp;YEAR($B$2)-1, 0))))</f>
        <v>1Q-2025</v>
      </c>
    </row>
    <row r="6" spans="1:7" x14ac:dyDescent="0.3">
      <c r="A6" s="30"/>
      <c r="B6" s="31" t="s">
        <v>49</v>
      </c>
      <c r="C6" s="32"/>
      <c r="D6" s="32"/>
      <c r="E6" s="32"/>
      <c r="F6" s="32"/>
      <c r="G6" s="33"/>
    </row>
    <row r="7" spans="1:7" x14ac:dyDescent="0.3">
      <c r="A7" s="30"/>
      <c r="B7" s="34" t="s">
        <v>50</v>
      </c>
      <c r="C7" s="32"/>
      <c r="D7" s="32"/>
      <c r="E7" s="32"/>
      <c r="F7" s="32"/>
      <c r="G7" s="33"/>
    </row>
    <row r="8" spans="1:7" x14ac:dyDescent="0.3">
      <c r="A8" s="35">
        <v>1</v>
      </c>
      <c r="B8" s="36" t="s">
        <v>51</v>
      </c>
      <c r="C8" s="37">
        <f>'9. Capital'!C29</f>
        <v>36848888.280309066</v>
      </c>
      <c r="D8" s="38">
        <v>37775443.695731387</v>
      </c>
      <c r="E8" s="38">
        <v>45772506.908991344</v>
      </c>
      <c r="F8" s="38">
        <v>48513098.859544486</v>
      </c>
      <c r="G8" s="39">
        <v>51747766.37973205</v>
      </c>
    </row>
    <row r="9" spans="1:7" x14ac:dyDescent="0.3">
      <c r="A9" s="35">
        <v>2</v>
      </c>
      <c r="B9" s="36" t="s">
        <v>52</v>
      </c>
      <c r="C9" s="37">
        <f>'9. Capital'!C29</f>
        <v>36848888.280309066</v>
      </c>
      <c r="D9" s="38">
        <v>37775443.695731387</v>
      </c>
      <c r="E9" s="38">
        <v>45772506.908991344</v>
      </c>
      <c r="F9" s="38">
        <v>48513098.859544486</v>
      </c>
      <c r="G9" s="39">
        <v>51747766.37973205</v>
      </c>
    </row>
    <row r="10" spans="1:7" x14ac:dyDescent="0.3">
      <c r="A10" s="35">
        <v>3</v>
      </c>
      <c r="B10" s="36" t="s">
        <v>20</v>
      </c>
      <c r="C10" s="37">
        <f>'9. Capital'!C29+'9. Capital'!C44</f>
        <v>53172645.76030907</v>
      </c>
      <c r="D10" s="38">
        <v>54295164.455731384</v>
      </c>
      <c r="E10" s="38">
        <v>57411237.788991347</v>
      </c>
      <c r="F10" s="38">
        <v>54736636.219544485</v>
      </c>
      <c r="G10" s="39">
        <v>55325331.819732048</v>
      </c>
    </row>
    <row r="11" spans="1:7" x14ac:dyDescent="0.3">
      <c r="A11" s="35">
        <v>4</v>
      </c>
      <c r="B11" s="36" t="s">
        <v>53</v>
      </c>
      <c r="C11" s="37">
        <v>24035302.316443603</v>
      </c>
      <c r="D11" s="38">
        <v>21887134.463850282</v>
      </c>
      <c r="E11" s="38">
        <v>22959551.120468162</v>
      </c>
      <c r="F11" s="38">
        <v>28216170.433394633</v>
      </c>
      <c r="G11" s="39">
        <v>27882901.842054613</v>
      </c>
    </row>
    <row r="12" spans="1:7" x14ac:dyDescent="0.3">
      <c r="A12" s="35">
        <v>5</v>
      </c>
      <c r="B12" s="36" t="s">
        <v>54</v>
      </c>
      <c r="C12" s="37">
        <v>28615363.751541916</v>
      </c>
      <c r="D12" s="38">
        <v>26320387.013684236</v>
      </c>
      <c r="E12" s="38">
        <v>27827617.631172169</v>
      </c>
      <c r="F12" s="38">
        <v>34400344.415925846</v>
      </c>
      <c r="G12" s="39">
        <v>34047451.761985034</v>
      </c>
    </row>
    <row r="13" spans="1:7" x14ac:dyDescent="0.3">
      <c r="A13" s="35">
        <v>6</v>
      </c>
      <c r="B13" s="36" t="s">
        <v>55</v>
      </c>
      <c r="C13" s="37">
        <v>34686221.204769313</v>
      </c>
      <c r="D13" s="38">
        <v>32196422.773157891</v>
      </c>
      <c r="E13" s="38">
        <v>34275217.114517622</v>
      </c>
      <c r="F13" s="38">
        <v>42586371.994608976</v>
      </c>
      <c r="G13" s="39">
        <v>42205997.548436426</v>
      </c>
    </row>
    <row r="14" spans="1:7" x14ac:dyDescent="0.3">
      <c r="A14" s="30"/>
      <c r="B14" s="31" t="s">
        <v>56</v>
      </c>
      <c r="C14" s="40"/>
      <c r="D14" s="41"/>
      <c r="E14" s="41"/>
      <c r="F14" s="41"/>
      <c r="G14" s="42"/>
    </row>
    <row r="15" spans="1:7" ht="22.2" customHeight="1" x14ac:dyDescent="0.3">
      <c r="A15" s="35">
        <v>7</v>
      </c>
      <c r="B15" s="36" t="s">
        <v>57</v>
      </c>
      <c r="C15" s="43">
        <v>168951146.77256793</v>
      </c>
      <c r="D15" s="38">
        <v>162673136.83009082</v>
      </c>
      <c r="E15" s="38">
        <v>160545483.19267309</v>
      </c>
      <c r="F15" s="38">
        <v>186034886.33982742</v>
      </c>
      <c r="G15" s="38">
        <v>179724388.86316672</v>
      </c>
    </row>
    <row r="16" spans="1:7" x14ac:dyDescent="0.3">
      <c r="A16" s="30"/>
      <c r="B16" s="31" t="s">
        <v>58</v>
      </c>
      <c r="C16" s="44"/>
      <c r="D16" s="45"/>
      <c r="E16" s="45"/>
      <c r="F16" s="45"/>
      <c r="G16" s="46"/>
    </row>
    <row r="17" spans="1:7" x14ac:dyDescent="0.3">
      <c r="A17" s="35"/>
      <c r="B17" s="34" t="s">
        <v>59</v>
      </c>
      <c r="C17" s="47"/>
      <c r="D17" s="48"/>
      <c r="E17" s="48"/>
      <c r="F17" s="48"/>
      <c r="G17" s="49"/>
    </row>
    <row r="18" spans="1:7" x14ac:dyDescent="0.3">
      <c r="A18" s="35">
        <v>8</v>
      </c>
      <c r="B18" s="36" t="s">
        <v>60</v>
      </c>
      <c r="C18" s="50">
        <f>C8/C$15</f>
        <v>0.21810380683543312</v>
      </c>
      <c r="D18" s="50">
        <v>0.23221685173002571</v>
      </c>
      <c r="E18" s="50">
        <v>0.28510616430148372</v>
      </c>
      <c r="F18" s="50">
        <v>0.2607742010868126</v>
      </c>
      <c r="G18" s="50">
        <v>0.28792845927622124</v>
      </c>
    </row>
    <row r="19" spans="1:7" ht="15" customHeight="1" x14ac:dyDescent="0.3">
      <c r="A19" s="35">
        <v>9</v>
      </c>
      <c r="B19" s="36" t="s">
        <v>61</v>
      </c>
      <c r="C19" s="50">
        <f>C9/C$15</f>
        <v>0.21810380683543312</v>
      </c>
      <c r="D19" s="50">
        <v>0.23221685173002571</v>
      </c>
      <c r="E19" s="50">
        <v>0.28510616430148372</v>
      </c>
      <c r="F19" s="50">
        <v>0.2607742010868126</v>
      </c>
      <c r="G19" s="50">
        <v>0.28792845927622124</v>
      </c>
    </row>
    <row r="20" spans="1:7" x14ac:dyDescent="0.3">
      <c r="A20" s="35">
        <v>10</v>
      </c>
      <c r="B20" s="36" t="s">
        <v>62</v>
      </c>
      <c r="C20" s="50">
        <f>C10/C$15</f>
        <v>0.31472201743553097</v>
      </c>
      <c r="D20" s="50">
        <v>0.33376847286372618</v>
      </c>
      <c r="E20" s="50">
        <v>0.35760107757183829</v>
      </c>
      <c r="F20" s="50">
        <v>0.29422780477613114</v>
      </c>
      <c r="G20" s="50">
        <v>0.30783430212053203</v>
      </c>
    </row>
    <row r="21" spans="1:7" x14ac:dyDescent="0.3">
      <c r="A21" s="35">
        <v>11</v>
      </c>
      <c r="B21" s="36" t="s">
        <v>53</v>
      </c>
      <c r="C21" s="50">
        <v>0.14226184773281539</v>
      </c>
      <c r="D21" s="51">
        <v>0.13454670445502628</v>
      </c>
      <c r="E21" s="52">
        <v>0.14300963604758693</v>
      </c>
      <c r="F21" s="52">
        <v>0.15167139340657071</v>
      </c>
      <c r="G21" s="52">
        <v>0.15514256033043616</v>
      </c>
    </row>
    <row r="22" spans="1:7" x14ac:dyDescent="0.3">
      <c r="A22" s="35">
        <v>12</v>
      </c>
      <c r="B22" s="36" t="s">
        <v>54</v>
      </c>
      <c r="C22" s="50">
        <v>0.16937063937223362</v>
      </c>
      <c r="D22" s="51">
        <v>0.1617992222107047</v>
      </c>
      <c r="E22" s="52">
        <v>0.17333167572067923</v>
      </c>
      <c r="F22" s="52">
        <v>0.18491340572051201</v>
      </c>
      <c r="G22" s="52">
        <v>0.18944257914771423</v>
      </c>
    </row>
    <row r="23" spans="1:7" x14ac:dyDescent="0.3">
      <c r="A23" s="35">
        <v>13</v>
      </c>
      <c r="B23" s="36" t="s">
        <v>55</v>
      </c>
      <c r="C23" s="50">
        <v>0.20530325995041548</v>
      </c>
      <c r="D23" s="51">
        <v>0.1979209560997553</v>
      </c>
      <c r="E23" s="52">
        <v>0.21349225423790597</v>
      </c>
      <c r="F23" s="52">
        <v>0.22891605350201374</v>
      </c>
      <c r="G23" s="52">
        <v>0.23483734074939594</v>
      </c>
    </row>
    <row r="24" spans="1:7" x14ac:dyDescent="0.3">
      <c r="A24" s="30"/>
      <c r="B24" s="31" t="s">
        <v>63</v>
      </c>
      <c r="C24" s="53"/>
      <c r="D24" s="54"/>
      <c r="E24" s="55"/>
      <c r="F24" s="55"/>
      <c r="G24" s="55"/>
    </row>
    <row r="25" spans="1:7" ht="27.6" x14ac:dyDescent="0.3">
      <c r="A25" s="35">
        <v>14</v>
      </c>
      <c r="B25" s="36" t="s">
        <v>64</v>
      </c>
      <c r="C25" s="53"/>
      <c r="D25" s="54" t="s">
        <v>65</v>
      </c>
      <c r="E25" s="55" t="s">
        <v>65</v>
      </c>
      <c r="F25" s="55" t="s">
        <v>65</v>
      </c>
      <c r="G25" s="55" t="s">
        <v>65</v>
      </c>
    </row>
    <row r="26" spans="1:7" x14ac:dyDescent="0.3">
      <c r="A26" s="30"/>
      <c r="B26" s="31" t="s">
        <v>66</v>
      </c>
      <c r="C26" s="40"/>
      <c r="D26" s="41"/>
      <c r="E26" s="41"/>
      <c r="F26" s="41"/>
      <c r="G26" s="42"/>
    </row>
    <row r="27" spans="1:7" ht="15" customHeight="1" x14ac:dyDescent="0.3">
      <c r="A27" s="56">
        <v>15</v>
      </c>
      <c r="B27" s="57" t="s">
        <v>67</v>
      </c>
      <c r="C27" s="58">
        <v>0.13563369946632375</v>
      </c>
      <c r="D27" s="58">
        <v>0.1174443073199487</v>
      </c>
      <c r="E27" s="59">
        <v>0.11291817283245435</v>
      </c>
      <c r="F27" s="59">
        <v>0.10762360969258578</v>
      </c>
      <c r="G27" s="60">
        <v>0.10006581640688003</v>
      </c>
    </row>
    <row r="28" spans="1:7" x14ac:dyDescent="0.3">
      <c r="A28" s="56">
        <v>16</v>
      </c>
      <c r="B28" s="57" t="s">
        <v>68</v>
      </c>
      <c r="C28" s="58">
        <v>7.5273000989415029E-2</v>
      </c>
      <c r="D28" s="61">
        <v>6.7039830691221311E-2</v>
      </c>
      <c r="E28" s="59">
        <v>6.4847917075531836E-2</v>
      </c>
      <c r="F28" s="59">
        <v>6.2696612680487956E-2</v>
      </c>
      <c r="G28" s="60">
        <v>5.938198184545454E-2</v>
      </c>
    </row>
    <row r="29" spans="1:7" x14ac:dyDescent="0.3">
      <c r="A29" s="56">
        <v>17</v>
      </c>
      <c r="B29" s="57" t="s">
        <v>69</v>
      </c>
      <c r="C29" s="58">
        <v>-9.5860514798791235E-2</v>
      </c>
      <c r="D29" s="61">
        <v>-9.2458027411650642E-2</v>
      </c>
      <c r="E29" s="59">
        <v>-8.2066868408063987E-2</v>
      </c>
      <c r="F29" s="59">
        <v>-7.4557755998301514E-2</v>
      </c>
      <c r="G29" s="60">
        <v>-6.787592390263876E-2</v>
      </c>
    </row>
    <row r="30" spans="1:7" x14ac:dyDescent="0.3">
      <c r="A30" s="56">
        <v>18</v>
      </c>
      <c r="B30" s="57" t="s">
        <v>70</v>
      </c>
      <c r="C30" s="58">
        <v>6.0360698476908739E-2</v>
      </c>
      <c r="D30" s="61">
        <v>5.04044766287274E-2</v>
      </c>
      <c r="E30" s="59">
        <v>4.807025575692251E-2</v>
      </c>
      <c r="F30" s="59">
        <v>4.4926997012097819E-2</v>
      </c>
      <c r="G30" s="60">
        <v>4.0683834561425498E-2</v>
      </c>
    </row>
    <row r="31" spans="1:7" x14ac:dyDescent="0.3">
      <c r="A31" s="56">
        <v>19</v>
      </c>
      <c r="B31" s="57" t="s">
        <v>71</v>
      </c>
      <c r="C31" s="58">
        <v>-0.10856060734048316</v>
      </c>
      <c r="D31" s="61">
        <v>-0.1095483140023964</v>
      </c>
      <c r="E31" s="59">
        <v>-0.10347431410721378</v>
      </c>
      <c r="F31" s="59">
        <v>-9.7190850586126559E-2</v>
      </c>
      <c r="G31" s="60">
        <v>-9.1574791364158234E-2</v>
      </c>
    </row>
    <row r="32" spans="1:7" x14ac:dyDescent="0.3">
      <c r="A32" s="56">
        <v>20</v>
      </c>
      <c r="B32" s="57" t="s">
        <v>72</v>
      </c>
      <c r="C32" s="58">
        <v>-0.39794206613887523</v>
      </c>
      <c r="D32" s="61">
        <v>-0.37401550914691517</v>
      </c>
      <c r="E32" s="59">
        <v>-0.34625632385337751</v>
      </c>
      <c r="F32" s="59">
        <v>-0.33072782617231344</v>
      </c>
      <c r="G32" s="60">
        <v>-0.31441886277393033</v>
      </c>
    </row>
    <row r="33" spans="1:7" x14ac:dyDescent="0.3">
      <c r="A33" s="30"/>
      <c r="B33" s="31" t="s">
        <v>73</v>
      </c>
      <c r="C33" s="62"/>
      <c r="D33" s="63"/>
      <c r="E33" s="63"/>
      <c r="F33" s="63"/>
      <c r="G33" s="64"/>
    </row>
    <row r="34" spans="1:7" x14ac:dyDescent="0.3">
      <c r="A34" s="56">
        <v>21</v>
      </c>
      <c r="B34" s="57" t="s">
        <v>74</v>
      </c>
      <c r="C34" s="65">
        <f>'24. Risk Sector'!F33/'24. Risk Sector'!C33</f>
        <v>6.1495258303156816E-2</v>
      </c>
      <c r="D34" s="61">
        <v>4.479180451811985E-2</v>
      </c>
      <c r="E34" s="59">
        <v>4.3020245155645308E-2</v>
      </c>
      <c r="F34" s="59">
        <v>2.7456641319127367E-2</v>
      </c>
      <c r="G34" s="60">
        <v>1.3065691780277701E-2</v>
      </c>
    </row>
    <row r="35" spans="1:7" ht="15" customHeight="1" x14ac:dyDescent="0.3">
      <c r="A35" s="56">
        <v>22</v>
      </c>
      <c r="B35" s="57" t="s">
        <v>75</v>
      </c>
      <c r="C35" s="65">
        <v>4.8636113723649448E-2</v>
      </c>
      <c r="D35" s="61">
        <v>4.7965568772508731E-2</v>
      </c>
      <c r="E35" s="59">
        <v>4.3637819710509888E-2</v>
      </c>
      <c r="F35" s="59">
        <v>2.6959821870119898E-2</v>
      </c>
      <c r="G35" s="60">
        <v>2.2243139281515674E-2</v>
      </c>
    </row>
    <row r="36" spans="1:7" x14ac:dyDescent="0.3">
      <c r="A36" s="56">
        <v>23</v>
      </c>
      <c r="B36" s="57" t="s">
        <v>76</v>
      </c>
      <c r="C36" s="65">
        <v>0.1272206502771189</v>
      </c>
      <c r="D36" s="61">
        <v>0.14989300719497128</v>
      </c>
      <c r="E36" s="59">
        <v>0.1260118266146581</v>
      </c>
      <c r="F36" s="59">
        <v>0.29738854250996566</v>
      </c>
      <c r="G36" s="60">
        <v>0.35173537806500249</v>
      </c>
    </row>
    <row r="37" spans="1:7" ht="15" customHeight="1" x14ac:dyDescent="0.3">
      <c r="A37" s="56">
        <v>24</v>
      </c>
      <c r="B37" s="57" t="s">
        <v>77</v>
      </c>
      <c r="C37" s="65">
        <v>0.13598537523139356</v>
      </c>
      <c r="D37" s="61">
        <v>0.17978714857341138</v>
      </c>
      <c r="E37" s="59">
        <v>0.26963303957954721</v>
      </c>
      <c r="F37" s="59">
        <v>0.27321599138404595</v>
      </c>
      <c r="G37" s="60">
        <v>0.29078467354687437</v>
      </c>
    </row>
    <row r="38" spans="1:7" x14ac:dyDescent="0.3">
      <c r="A38" s="56">
        <v>25</v>
      </c>
      <c r="B38" s="57" t="s">
        <v>78</v>
      </c>
      <c r="C38" s="58">
        <v>9.7666856435188493E-2</v>
      </c>
      <c r="D38" s="61">
        <v>-1.4704338328382964E-2</v>
      </c>
      <c r="E38" s="59">
        <v>-0.16857473346488466</v>
      </c>
      <c r="F38" s="59">
        <v>9.1224471301740204E-2</v>
      </c>
      <c r="G38" s="60">
        <v>3.6695585190813423E-2</v>
      </c>
    </row>
    <row r="39" spans="1:7" ht="15" customHeight="1" x14ac:dyDescent="0.3">
      <c r="A39" s="30"/>
      <c r="B39" s="31" t="s">
        <v>79</v>
      </c>
      <c r="C39" s="62"/>
      <c r="D39" s="63"/>
      <c r="E39" s="63"/>
      <c r="F39" s="63"/>
      <c r="G39" s="64"/>
    </row>
    <row r="40" spans="1:7" ht="15" customHeight="1" x14ac:dyDescent="0.3">
      <c r="A40" s="56">
        <v>26</v>
      </c>
      <c r="B40" s="57" t="s">
        <v>80</v>
      </c>
      <c r="C40" s="65">
        <v>0.15275988110147112</v>
      </c>
      <c r="D40" s="58">
        <v>0.21495468185688452</v>
      </c>
      <c r="E40" s="65">
        <v>0.28229980236500751</v>
      </c>
      <c r="F40" s="65">
        <v>0.20042026972069935</v>
      </c>
      <c r="G40" s="66">
        <v>0.19732076771501195</v>
      </c>
    </row>
    <row r="41" spans="1:7" ht="15" customHeight="1" x14ac:dyDescent="0.3">
      <c r="A41" s="56">
        <v>27</v>
      </c>
      <c r="B41" s="57" t="s">
        <v>81</v>
      </c>
      <c r="C41" s="65">
        <v>0.1783918998302941</v>
      </c>
      <c r="D41" s="58">
        <v>0.1776504083880138</v>
      </c>
      <c r="E41" s="65">
        <v>0.21585635789938645</v>
      </c>
      <c r="F41" s="65">
        <v>0.2401792139183308</v>
      </c>
      <c r="G41" s="66">
        <v>0.21261149390564252</v>
      </c>
    </row>
    <row r="42" spans="1:7" ht="15" customHeight="1" x14ac:dyDescent="0.3">
      <c r="A42" s="56">
        <v>28</v>
      </c>
      <c r="B42" s="67" t="s">
        <v>82</v>
      </c>
      <c r="C42" s="58">
        <v>0.10324565856173638</v>
      </c>
      <c r="D42" s="58">
        <v>0.10871805302378114</v>
      </c>
      <c r="E42" s="65">
        <v>8.7318582067850523E-2</v>
      </c>
      <c r="F42" s="65">
        <v>0.10318237832490137</v>
      </c>
      <c r="G42" s="66">
        <v>7.3045138489445646E-2</v>
      </c>
    </row>
    <row r="43" spans="1:7" ht="15" customHeight="1" x14ac:dyDescent="0.3">
      <c r="A43" s="68"/>
      <c r="B43" s="31" t="s">
        <v>83</v>
      </c>
      <c r="C43" s="40"/>
      <c r="D43" s="41"/>
      <c r="E43" s="41"/>
      <c r="F43" s="41"/>
      <c r="G43" s="42"/>
    </row>
    <row r="44" spans="1:7" ht="15" customHeight="1" x14ac:dyDescent="0.3">
      <c r="A44" s="56">
        <v>29</v>
      </c>
      <c r="B44" s="69" t="s">
        <v>84</v>
      </c>
      <c r="C44" s="37">
        <f>'14. LCR'!H23</f>
        <v>52987377.090000004</v>
      </c>
      <c r="D44" s="37">
        <v>56896762.379999995</v>
      </c>
      <c r="E44" s="70">
        <v>47686361.430000007</v>
      </c>
      <c r="F44" s="70">
        <v>58815376.760000005</v>
      </c>
      <c r="G44" s="71">
        <v>42815956.579999998</v>
      </c>
    </row>
    <row r="45" spans="1:7" x14ac:dyDescent="0.3">
      <c r="A45" s="56">
        <v>30</v>
      </c>
      <c r="B45" s="57" t="s">
        <v>85</v>
      </c>
      <c r="C45" s="37">
        <f>'14. LCR'!H24</f>
        <v>20332541.333800003</v>
      </c>
      <c r="D45" s="37">
        <v>27951619.646400001</v>
      </c>
      <c r="E45" s="72">
        <v>24005857.869350001</v>
      </c>
      <c r="F45" s="72">
        <v>33261667.984650005</v>
      </c>
      <c r="G45" s="73">
        <v>18858388.107000001</v>
      </c>
    </row>
    <row r="46" spans="1:7" x14ac:dyDescent="0.3">
      <c r="A46" s="74">
        <v>31</v>
      </c>
      <c r="B46" s="75" t="s">
        <v>86</v>
      </c>
      <c r="C46" s="58">
        <f>C44/C45</f>
        <v>2.6060380854564356</v>
      </c>
      <c r="D46" s="58">
        <v>2.0355443834657341</v>
      </c>
      <c r="E46" s="76">
        <v>1.9864468784881295</v>
      </c>
      <c r="F46" s="76">
        <v>1.768262998330175</v>
      </c>
      <c r="G46" s="76">
        <v>2.2703932243343345</v>
      </c>
    </row>
    <row r="47" spans="1:7" x14ac:dyDescent="0.3">
      <c r="A47" s="74"/>
      <c r="B47" s="31" t="s">
        <v>33</v>
      </c>
      <c r="C47" s="40"/>
      <c r="D47" s="41"/>
      <c r="E47" s="41"/>
      <c r="F47" s="41"/>
      <c r="G47" s="42"/>
    </row>
    <row r="48" spans="1:7" x14ac:dyDescent="0.3">
      <c r="A48" s="74">
        <v>32</v>
      </c>
      <c r="B48" s="75" t="s">
        <v>87</v>
      </c>
      <c r="C48" s="37">
        <f>'16. NSFR'!G21</f>
        <v>155693912.13205886</v>
      </c>
      <c r="D48" s="77">
        <v>151306301.75123131</v>
      </c>
      <c r="E48" s="77">
        <v>132210869.38449124</v>
      </c>
      <c r="F48" s="77">
        <v>143125460.79054442</v>
      </c>
      <c r="G48" s="78">
        <v>160430671.54504979</v>
      </c>
    </row>
    <row r="49" spans="1:7" x14ac:dyDescent="0.3">
      <c r="A49" s="74">
        <v>33</v>
      </c>
      <c r="B49" s="75" t="s">
        <v>88</v>
      </c>
      <c r="C49" s="37">
        <f>'16. NSFR'!G37</f>
        <v>136035056.07685524</v>
      </c>
      <c r="D49" s="77">
        <v>125496020.89558183</v>
      </c>
      <c r="E49" s="77">
        <v>110002002.16626833</v>
      </c>
      <c r="F49" s="77">
        <v>132933238.80487554</v>
      </c>
      <c r="G49" s="78">
        <v>126621302.4915107</v>
      </c>
    </row>
    <row r="50" spans="1:7" ht="15" thickBot="1" x14ac:dyDescent="0.35">
      <c r="A50" s="79">
        <v>34</v>
      </c>
      <c r="B50" s="80" t="s">
        <v>89</v>
      </c>
      <c r="C50" s="81">
        <f>C48/C49</f>
        <v>1.144513161696328</v>
      </c>
      <c r="D50" s="82">
        <v>1.2056661292641682</v>
      </c>
      <c r="E50" s="82">
        <v>1.2018951180966155</v>
      </c>
      <c r="F50" s="82">
        <v>1.0766717344533328</v>
      </c>
      <c r="G50" s="83">
        <v>1.2670116985710664</v>
      </c>
    </row>
    <row r="51" spans="1:7" x14ac:dyDescent="0.3">
      <c r="A51" s="84"/>
      <c r="C51" s="85">
        <f>C50-'16. NSFR'!G39</f>
        <v>0</v>
      </c>
    </row>
    <row r="52" spans="1:7" x14ac:dyDescent="0.3">
      <c r="B52" s="87"/>
    </row>
    <row r="53" spans="1:7" ht="69" x14ac:dyDescent="0.3">
      <c r="B53" s="88" t="s">
        <v>90</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870B1-6B02-444A-A845-1D6BE4CE1A0C}">
  <sheetPr>
    <tabColor theme="2" tint="-9.9978637043366805E-2"/>
  </sheetPr>
  <dimension ref="A1:D39"/>
  <sheetViews>
    <sheetView topLeftCell="A6" zoomScale="82" zoomScaleNormal="82" workbookViewId="0">
      <selection activeCell="C6" sqref="C6:C34"/>
    </sheetView>
  </sheetViews>
  <sheetFormatPr defaultRowHeight="14.4" x14ac:dyDescent="0.3"/>
  <cols>
    <col min="1" max="1" width="11.44140625" customWidth="1"/>
    <col min="2" max="2" width="76.6640625" style="226" customWidth="1"/>
    <col min="3" max="3" width="22.6640625" customWidth="1"/>
    <col min="4" max="4" width="12.21875" customWidth="1"/>
    <col min="5" max="5" width="23.6640625" customWidth="1"/>
  </cols>
  <sheetData>
    <row r="1" spans="1:3" x14ac:dyDescent="0.3">
      <c r="A1" s="18" t="s">
        <v>44</v>
      </c>
      <c r="B1" t="str">
        <f>Info!C2</f>
        <v>სს სილქ ბანკი</v>
      </c>
    </row>
    <row r="2" spans="1:3" x14ac:dyDescent="0.3">
      <c r="A2" s="18" t="s">
        <v>45</v>
      </c>
      <c r="B2" s="22">
        <f>'1. key ratios'!B2</f>
        <v>46112</v>
      </c>
    </row>
    <row r="3" spans="1:3" x14ac:dyDescent="0.3">
      <c r="A3" s="18"/>
      <c r="B3"/>
    </row>
    <row r="4" spans="1:3" x14ac:dyDescent="0.3">
      <c r="A4" s="18" t="s">
        <v>530</v>
      </c>
      <c r="B4" t="s">
        <v>31</v>
      </c>
    </row>
    <row r="5" spans="1:3" x14ac:dyDescent="0.3">
      <c r="A5" s="480"/>
      <c r="B5" s="480" t="s">
        <v>531</v>
      </c>
      <c r="C5" s="481"/>
    </row>
    <row r="6" spans="1:3" x14ac:dyDescent="0.3">
      <c r="A6" s="482">
        <v>1</v>
      </c>
      <c r="B6" s="483" t="s">
        <v>531</v>
      </c>
      <c r="C6" s="484">
        <v>227767196.74971467</v>
      </c>
    </row>
    <row r="7" spans="1:3" x14ac:dyDescent="0.3">
      <c r="A7" s="482">
        <v>2</v>
      </c>
      <c r="B7" s="483" t="s">
        <v>532</v>
      </c>
      <c r="C7" s="484">
        <v>-19266461.090645794</v>
      </c>
    </row>
    <row r="8" spans="1:3" x14ac:dyDescent="0.3">
      <c r="A8" s="485">
        <v>3</v>
      </c>
      <c r="B8" s="486" t="s">
        <v>533</v>
      </c>
      <c r="C8" s="487">
        <f>C6+C7</f>
        <v>208500735.65906888</v>
      </c>
    </row>
    <row r="9" spans="1:3" x14ac:dyDescent="0.3">
      <c r="A9" s="488"/>
      <c r="B9" s="488" t="s">
        <v>534</v>
      </c>
      <c r="C9" s="489"/>
    </row>
    <row r="10" spans="1:3" x14ac:dyDescent="0.3">
      <c r="A10" s="490">
        <v>4</v>
      </c>
      <c r="B10" s="491" t="s">
        <v>535</v>
      </c>
      <c r="C10" s="484">
        <f>'15. CCR'!F34</f>
        <v>318758</v>
      </c>
    </row>
    <row r="11" spans="1:3" x14ac:dyDescent="0.3">
      <c r="A11" s="490">
        <v>5</v>
      </c>
      <c r="B11" s="492" t="s">
        <v>536</v>
      </c>
      <c r="C11" s="484">
        <f>'15. CCR'!G34</f>
        <v>66656.792026224473</v>
      </c>
    </row>
    <row r="12" spans="1:3" x14ac:dyDescent="0.3">
      <c r="A12" s="490">
        <v>6</v>
      </c>
      <c r="B12" s="493" t="s">
        <v>537</v>
      </c>
      <c r="C12" s="487">
        <v>539580.70883671427</v>
      </c>
    </row>
    <row r="13" spans="1:3" x14ac:dyDescent="0.3">
      <c r="A13" s="494">
        <v>7</v>
      </c>
      <c r="B13" s="495" t="s">
        <v>538</v>
      </c>
      <c r="C13" s="484">
        <f>'15. CCR'!E34</f>
        <v>500000</v>
      </c>
    </row>
    <row r="14" spans="1:3" x14ac:dyDescent="0.3">
      <c r="A14" s="496">
        <v>8</v>
      </c>
      <c r="B14" s="497" t="s">
        <v>539</v>
      </c>
      <c r="C14" s="487">
        <f>C12</f>
        <v>539580.70883671427</v>
      </c>
    </row>
    <row r="15" spans="1:3" x14ac:dyDescent="0.3">
      <c r="A15" s="488"/>
      <c r="B15" s="488" t="s">
        <v>540</v>
      </c>
      <c r="C15" s="498"/>
    </row>
    <row r="16" spans="1:3" x14ac:dyDescent="0.3">
      <c r="A16" s="494">
        <v>9</v>
      </c>
      <c r="B16" s="499" t="s">
        <v>541</v>
      </c>
      <c r="C16" s="484"/>
    </row>
    <row r="17" spans="1:4" x14ac:dyDescent="0.3">
      <c r="A17" s="490">
        <v>10</v>
      </c>
      <c r="B17" s="483" t="s">
        <v>542</v>
      </c>
      <c r="C17" s="484"/>
    </row>
    <row r="18" spans="1:4" x14ac:dyDescent="0.3">
      <c r="A18" s="490">
        <v>11</v>
      </c>
      <c r="B18" s="483" t="s">
        <v>543</v>
      </c>
      <c r="C18" s="484"/>
    </row>
    <row r="19" spans="1:4" ht="22.8" x14ac:dyDescent="0.3">
      <c r="A19" s="494">
        <v>12</v>
      </c>
      <c r="B19" s="499" t="s">
        <v>544</v>
      </c>
      <c r="C19" s="484"/>
    </row>
    <row r="20" spans="1:4" x14ac:dyDescent="0.3">
      <c r="A20" s="494">
        <v>13</v>
      </c>
      <c r="B20" s="499" t="s">
        <v>545</v>
      </c>
      <c r="C20" s="484"/>
    </row>
    <row r="21" spans="1:4" x14ac:dyDescent="0.3">
      <c r="A21" s="494">
        <v>14</v>
      </c>
      <c r="B21" s="483" t="s">
        <v>546</v>
      </c>
      <c r="C21" s="484"/>
    </row>
    <row r="22" spans="1:4" x14ac:dyDescent="0.3">
      <c r="A22" s="496">
        <v>15</v>
      </c>
      <c r="B22" s="497" t="s">
        <v>547</v>
      </c>
      <c r="C22" s="487">
        <f>SUM(C16:C21)</f>
        <v>0</v>
      </c>
    </row>
    <row r="23" spans="1:4" x14ac:dyDescent="0.3">
      <c r="A23" s="488"/>
      <c r="B23" s="488" t="s">
        <v>548</v>
      </c>
      <c r="C23" s="489"/>
    </row>
    <row r="24" spans="1:4" x14ac:dyDescent="0.3">
      <c r="A24" s="490">
        <v>16</v>
      </c>
      <c r="B24" s="483" t="s">
        <v>549</v>
      </c>
      <c r="C24" s="484">
        <v>33493943.372296788</v>
      </c>
    </row>
    <row r="25" spans="1:4" x14ac:dyDescent="0.3">
      <c r="A25" s="490">
        <v>17</v>
      </c>
      <c r="B25" s="483" t="s">
        <v>550</v>
      </c>
      <c r="C25" s="484">
        <v>-29947356.235067107</v>
      </c>
    </row>
    <row r="26" spans="1:4" x14ac:dyDescent="0.3">
      <c r="A26" s="496">
        <v>18</v>
      </c>
      <c r="B26" s="497" t="s">
        <v>551</v>
      </c>
      <c r="C26" s="487">
        <f>C24+C25</f>
        <v>3546587.137229681</v>
      </c>
    </row>
    <row r="27" spans="1:4" x14ac:dyDescent="0.3">
      <c r="A27" s="488"/>
      <c r="B27" s="488" t="s">
        <v>552</v>
      </c>
      <c r="C27" s="498"/>
      <c r="D27" s="191"/>
    </row>
    <row r="28" spans="1:4" x14ac:dyDescent="0.3">
      <c r="A28" s="490">
        <v>19</v>
      </c>
      <c r="B28" s="483" t="s">
        <v>553</v>
      </c>
      <c r="C28" s="484"/>
      <c r="D28" s="500">
        <v>0</v>
      </c>
    </row>
    <row r="29" spans="1:4" x14ac:dyDescent="0.3">
      <c r="A29" s="490">
        <v>20</v>
      </c>
      <c r="B29" s="483" t="s">
        <v>554</v>
      </c>
      <c r="C29" s="484"/>
      <c r="D29" s="500">
        <v>0</v>
      </c>
    </row>
    <row r="30" spans="1:4" x14ac:dyDescent="0.3">
      <c r="A30" s="488"/>
      <c r="B30" s="488" t="s">
        <v>555</v>
      </c>
      <c r="C30" s="489"/>
      <c r="D30" s="500">
        <v>0</v>
      </c>
    </row>
    <row r="31" spans="1:4" x14ac:dyDescent="0.3">
      <c r="A31" s="496">
        <v>21</v>
      </c>
      <c r="B31" s="497" t="s">
        <v>52</v>
      </c>
      <c r="C31" s="487">
        <f>'1. key ratios'!C9</f>
        <v>36848888.280309066</v>
      </c>
    </row>
    <row r="32" spans="1:4" x14ac:dyDescent="0.3">
      <c r="A32" s="496">
        <v>22</v>
      </c>
      <c r="B32" s="497" t="s">
        <v>556</v>
      </c>
      <c r="C32" s="487">
        <f>C8+C14+C22+C26</f>
        <v>212586903.50513527</v>
      </c>
    </row>
    <row r="33" spans="1:4" x14ac:dyDescent="0.3">
      <c r="A33" s="501"/>
      <c r="B33" s="501" t="s">
        <v>31</v>
      </c>
      <c r="C33" s="489"/>
    </row>
    <row r="34" spans="1:4" x14ac:dyDescent="0.3">
      <c r="A34" s="496">
        <v>23</v>
      </c>
      <c r="B34" s="497" t="s">
        <v>31</v>
      </c>
      <c r="C34" s="757">
        <f>IFERROR(C31/C32,0)</f>
        <v>0.17333564614162106</v>
      </c>
    </row>
    <row r="35" spans="1:4" x14ac:dyDescent="0.3">
      <c r="A35" s="501"/>
      <c r="B35" s="501" t="s">
        <v>557</v>
      </c>
      <c r="C35" s="489"/>
      <c r="D35" s="500"/>
    </row>
    <row r="36" spans="1:4" x14ac:dyDescent="0.3">
      <c r="A36" s="494" t="s">
        <v>558</v>
      </c>
      <c r="B36" s="499" t="s">
        <v>559</v>
      </c>
      <c r="C36" s="502"/>
      <c r="D36" s="500"/>
    </row>
    <row r="37" spans="1:4" x14ac:dyDescent="0.3">
      <c r="A37" s="503" t="s">
        <v>560</v>
      </c>
      <c r="B37" s="504" t="s">
        <v>561</v>
      </c>
      <c r="C37" s="502"/>
      <c r="D37" s="500"/>
    </row>
    <row r="38" spans="1:4" x14ac:dyDescent="0.3">
      <c r="D38" s="500"/>
    </row>
    <row r="39" spans="1:4" x14ac:dyDescent="0.3">
      <c r="B39" s="505"/>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E88B-6F34-4BA9-A43C-4519FECFDEAD}">
  <sheetPr>
    <tabColor theme="2" tint="-9.9978637043366805E-2"/>
  </sheetPr>
  <dimension ref="A1:F9"/>
  <sheetViews>
    <sheetView zoomScale="80" zoomScaleNormal="80" workbookViewId="0">
      <selection activeCell="C7" sqref="C7:F9"/>
    </sheetView>
  </sheetViews>
  <sheetFormatPr defaultRowHeight="14.4" x14ac:dyDescent="0.3"/>
  <cols>
    <col min="1" max="1" width="11.44140625" customWidth="1"/>
    <col min="2" max="2" width="76.6640625" style="226" customWidth="1"/>
    <col min="3" max="6" width="24.44140625" customWidth="1"/>
  </cols>
  <sheetData>
    <row r="1" spans="1:6" x14ac:dyDescent="0.3">
      <c r="A1" s="21" t="s">
        <v>44</v>
      </c>
      <c r="B1" t="str">
        <f>Info!C2</f>
        <v>სს სილქ ბანკი</v>
      </c>
    </row>
    <row r="2" spans="1:6" x14ac:dyDescent="0.3">
      <c r="A2" s="18" t="s">
        <v>45</v>
      </c>
      <c r="B2" s="22">
        <f>'1. key ratios'!B2</f>
        <v>46112</v>
      </c>
    </row>
    <row r="3" spans="1:6" x14ac:dyDescent="0.3">
      <c r="A3" s="18"/>
      <c r="B3"/>
    </row>
    <row r="4" spans="1:6" x14ac:dyDescent="0.3">
      <c r="A4" s="506" t="s">
        <v>562</v>
      </c>
    </row>
    <row r="5" spans="1:6" ht="100.8" x14ac:dyDescent="0.3">
      <c r="B5" s="507"/>
      <c r="C5" s="508" t="s">
        <v>563</v>
      </c>
      <c r="D5" s="508" t="s">
        <v>564</v>
      </c>
      <c r="E5" s="508" t="s">
        <v>565</v>
      </c>
      <c r="F5" s="508" t="s">
        <v>566</v>
      </c>
    </row>
    <row r="6" spans="1:6" x14ac:dyDescent="0.3">
      <c r="B6" s="509" t="s">
        <v>32</v>
      </c>
      <c r="C6" s="471">
        <f>IF(C7&gt;0,C7,IF(C8&gt;0,C8,IF(C9&gt;0,C9,0)))</f>
        <v>28767.711546261053</v>
      </c>
      <c r="D6" s="471">
        <f t="shared" ref="D6:F6" si="0">IF(D7&gt;0,D7,IF(D8&gt;0,D8,IF(D9&gt;0,D9,0)))</f>
        <v>0</v>
      </c>
      <c r="E6" s="471">
        <f t="shared" si="0"/>
        <v>0</v>
      </c>
      <c r="F6" s="471">
        <f t="shared" si="0"/>
        <v>28767.711546261053</v>
      </c>
    </row>
    <row r="7" spans="1:6" x14ac:dyDescent="0.3">
      <c r="B7" s="510" t="s">
        <v>521</v>
      </c>
      <c r="C7" s="511">
        <v>28767.711546261053</v>
      </c>
      <c r="D7" s="511">
        <v>0</v>
      </c>
      <c r="E7" s="511">
        <v>0</v>
      </c>
      <c r="F7" s="511">
        <v>28767.711546261053</v>
      </c>
    </row>
    <row r="8" spans="1:6" x14ac:dyDescent="0.3">
      <c r="B8" s="510" t="s">
        <v>522</v>
      </c>
      <c r="C8" s="511"/>
      <c r="D8" s="511"/>
      <c r="E8" s="511"/>
      <c r="F8" s="511"/>
    </row>
    <row r="9" spans="1:6" x14ac:dyDescent="0.3">
      <c r="B9" s="510" t="s">
        <v>523</v>
      </c>
      <c r="C9" s="511"/>
      <c r="D9" s="511"/>
      <c r="E9" s="511"/>
      <c r="F9" s="511"/>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CAFB8-FAA0-4EE6-BACD-0A8E15DE9B5A}">
  <sheetPr>
    <tabColor theme="2" tint="-9.9978637043366805E-2"/>
  </sheetPr>
  <dimension ref="A1:J42"/>
  <sheetViews>
    <sheetView zoomScaleNormal="100" workbookViewId="0">
      <pane xSplit="2" ySplit="6" topLeftCell="C26" activePane="bottomRight" state="frozen"/>
      <selection activeCell="B15" sqref="B15:C15"/>
      <selection pane="topRight" activeCell="B15" sqref="B15:C15"/>
      <selection pane="bottomLeft" activeCell="B15" sqref="B15:C15"/>
      <selection pane="bottomRight" activeCell="C8" sqref="C8:G39"/>
    </sheetView>
  </sheetViews>
  <sheetFormatPr defaultRowHeight="14.4" x14ac:dyDescent="0.3"/>
  <cols>
    <col min="1" max="1" width="9.88671875" style="18" bestFit="1" customWidth="1"/>
    <col min="2" max="2" width="82.6640625" style="87" customWidth="1"/>
    <col min="3" max="7" width="17.5546875" style="18" customWidth="1"/>
    <col min="8" max="8" width="15.88671875" style="191" customWidth="1"/>
    <col min="9" max="9" width="12.88671875" style="191" bestFit="1" customWidth="1"/>
    <col min="10" max="10" width="15.109375" customWidth="1"/>
  </cols>
  <sheetData>
    <row r="1" spans="1:10" x14ac:dyDescent="0.3">
      <c r="A1" s="18" t="s">
        <v>44</v>
      </c>
      <c r="B1" s="18" t="str">
        <f>Info!C2</f>
        <v>სს სილქ ბანკი</v>
      </c>
      <c r="G1" s="191"/>
    </row>
    <row r="2" spans="1:10" x14ac:dyDescent="0.3">
      <c r="A2" s="18" t="s">
        <v>45</v>
      </c>
      <c r="B2" s="22">
        <f>'1. key ratios'!B2</f>
        <v>46112</v>
      </c>
    </row>
    <row r="3" spans="1:10" x14ac:dyDescent="0.3">
      <c r="B3" s="215"/>
    </row>
    <row r="4" spans="1:10" ht="15" thickBot="1" x14ac:dyDescent="0.35">
      <c r="A4" s="18" t="s">
        <v>567</v>
      </c>
      <c r="B4" s="376" t="s">
        <v>33</v>
      </c>
      <c r="H4" s="208"/>
    </row>
    <row r="5" spans="1:10" ht="14.4" customHeight="1" x14ac:dyDescent="0.3">
      <c r="A5" s="512"/>
      <c r="B5" s="513"/>
      <c r="C5" s="854" t="s">
        <v>568</v>
      </c>
      <c r="D5" s="854"/>
      <c r="E5" s="854"/>
      <c r="F5" s="854"/>
      <c r="G5" s="855" t="s">
        <v>569</v>
      </c>
    </row>
    <row r="6" spans="1:10" x14ac:dyDescent="0.3">
      <c r="A6" s="514"/>
      <c r="B6" s="515"/>
      <c r="C6" s="516" t="s">
        <v>570</v>
      </c>
      <c r="D6" s="516" t="s">
        <v>571</v>
      </c>
      <c r="E6" s="516" t="s">
        <v>572</v>
      </c>
      <c r="F6" s="516" t="s">
        <v>573</v>
      </c>
      <c r="G6" s="856"/>
      <c r="H6" s="208"/>
    </row>
    <row r="7" spans="1:10" x14ac:dyDescent="0.3">
      <c r="A7" s="517"/>
      <c r="B7" s="518" t="s">
        <v>87</v>
      </c>
      <c r="C7" s="519"/>
      <c r="D7" s="519"/>
      <c r="E7" s="519"/>
      <c r="F7" s="519"/>
      <c r="G7" s="520"/>
    </row>
    <row r="8" spans="1:10" x14ac:dyDescent="0.3">
      <c r="A8" s="420">
        <v>1</v>
      </c>
      <c r="B8" s="521" t="s">
        <v>574</v>
      </c>
      <c r="C8" s="95">
        <f>SUM(C9:C10)</f>
        <v>53172645.760309063</v>
      </c>
      <c r="D8" s="95">
        <f>SUM(D9:D10)</f>
        <v>0</v>
      </c>
      <c r="E8" s="95">
        <f>SUM(E9:E10)</f>
        <v>0</v>
      </c>
      <c r="F8" s="95">
        <f>SUM(F9)</f>
        <v>0</v>
      </c>
      <c r="G8" s="522">
        <f>SUM(G9)</f>
        <v>53172645.760309063</v>
      </c>
      <c r="H8" s="500"/>
    </row>
    <row r="9" spans="1:10" x14ac:dyDescent="0.3">
      <c r="A9" s="420">
        <v>2</v>
      </c>
      <c r="B9" s="523" t="s">
        <v>20</v>
      </c>
      <c r="C9" s="95">
        <v>53172645.760309063</v>
      </c>
      <c r="D9" s="95"/>
      <c r="E9" s="95"/>
      <c r="F9" s="95">
        <v>0</v>
      </c>
      <c r="G9" s="522">
        <f>SUM(C9:F9)*1</f>
        <v>53172645.760309063</v>
      </c>
      <c r="H9" s="500"/>
    </row>
    <row r="10" spans="1:10" x14ac:dyDescent="0.3">
      <c r="A10" s="420">
        <v>3</v>
      </c>
      <c r="B10" s="523" t="s">
        <v>575</v>
      </c>
      <c r="C10" s="524"/>
      <c r="D10" s="524"/>
      <c r="E10" s="524"/>
      <c r="F10" s="95">
        <v>5555277.7300000004</v>
      </c>
      <c r="G10" s="522">
        <f>SUM(C10:F10)*1</f>
        <v>5555277.7300000004</v>
      </c>
      <c r="H10" s="500"/>
      <c r="J10" s="525"/>
    </row>
    <row r="11" spans="1:10" ht="27.6" x14ac:dyDescent="0.3">
      <c r="A11" s="420">
        <v>4</v>
      </c>
      <c r="B11" s="521" t="s">
        <v>576</v>
      </c>
      <c r="C11" s="95">
        <f>SUM(C12:C13)</f>
        <v>15769751.179999799</v>
      </c>
      <c r="D11" s="95">
        <f>SUM(D12:D13)</f>
        <v>27896809.735000007</v>
      </c>
      <c r="E11" s="95">
        <f>SUM(E12:E13)</f>
        <v>17403295.090000004</v>
      </c>
      <c r="F11" s="95">
        <f>SUM(F12:F13)</f>
        <v>200</v>
      </c>
      <c r="G11" s="522">
        <f>SUM(G12:G13)</f>
        <v>55020965.601749822</v>
      </c>
      <c r="H11" s="500"/>
    </row>
    <row r="12" spans="1:10" x14ac:dyDescent="0.3">
      <c r="A12" s="420">
        <v>5</v>
      </c>
      <c r="B12" s="523" t="s">
        <v>577</v>
      </c>
      <c r="C12" s="95">
        <v>12274314.259999799</v>
      </c>
      <c r="D12" s="526">
        <v>26264801.565000009</v>
      </c>
      <c r="E12" s="95">
        <v>15873878.840000005</v>
      </c>
      <c r="F12" s="95">
        <v>200</v>
      </c>
      <c r="G12" s="522">
        <f>SUM(C12:F12)*0.95</f>
        <v>51692534.931749821</v>
      </c>
      <c r="H12" s="500"/>
      <c r="J12" s="527"/>
    </row>
    <row r="13" spans="1:10" x14ac:dyDescent="0.3">
      <c r="A13" s="420">
        <v>6</v>
      </c>
      <c r="B13" s="523" t="s">
        <v>578</v>
      </c>
      <c r="C13" s="95">
        <v>3495436.92</v>
      </c>
      <c r="D13" s="526">
        <v>1632008.17</v>
      </c>
      <c r="E13" s="95">
        <v>1529416.25</v>
      </c>
      <c r="F13" s="95">
        <v>0</v>
      </c>
      <c r="G13" s="522">
        <f>SUM(C13:F13)/2</f>
        <v>3328430.67</v>
      </c>
      <c r="H13" s="500"/>
      <c r="I13" s="208"/>
    </row>
    <row r="14" spans="1:10" x14ac:dyDescent="0.3">
      <c r="A14" s="420">
        <v>7</v>
      </c>
      <c r="B14" s="521" t="s">
        <v>579</v>
      </c>
      <c r="C14" s="95">
        <f>SUM(C15:C16)</f>
        <v>9288381.0299999975</v>
      </c>
      <c r="D14" s="95">
        <f>SUM(D15:D16)</f>
        <v>15754380.739999998</v>
      </c>
      <c r="E14" s="95">
        <f>SUM(E15:E16)</f>
        <v>58847284.309999987</v>
      </c>
      <c r="F14" s="95">
        <f>SUM(F15:F16)</f>
        <v>0</v>
      </c>
      <c r="G14" s="522">
        <f>SUM(G15:G16)</f>
        <v>41945023.039999992</v>
      </c>
      <c r="H14" s="500"/>
    </row>
    <row r="15" spans="1:10" ht="55.2" x14ac:dyDescent="0.3">
      <c r="A15" s="420">
        <v>8</v>
      </c>
      <c r="B15" s="523" t="s">
        <v>580</v>
      </c>
      <c r="C15" s="95">
        <v>9288381.0299999975</v>
      </c>
      <c r="D15" s="528">
        <v>15754380.739999998</v>
      </c>
      <c r="E15" s="528">
        <v>58847284.309999987</v>
      </c>
      <c r="F15" s="528">
        <v>0</v>
      </c>
      <c r="G15" s="522">
        <f>SUM(C15:F15)/2</f>
        <v>41945023.039999992</v>
      </c>
      <c r="H15" s="500"/>
      <c r="I15" s="500"/>
      <c r="J15" s="525">
        <f>H15*2</f>
        <v>0</v>
      </c>
    </row>
    <row r="16" spans="1:10" ht="27.6" x14ac:dyDescent="0.3">
      <c r="A16" s="420">
        <v>9</v>
      </c>
      <c r="B16" s="523" t="s">
        <v>581</v>
      </c>
      <c r="C16" s="529">
        <v>0</v>
      </c>
      <c r="D16" s="95">
        <v>0</v>
      </c>
      <c r="E16" s="95">
        <v>0</v>
      </c>
      <c r="F16" s="95">
        <v>0</v>
      </c>
      <c r="G16" s="522">
        <f>C16*0+D16/2+E16/2</f>
        <v>0</v>
      </c>
      <c r="H16" s="500"/>
    </row>
    <row r="17" spans="1:9" x14ac:dyDescent="0.3">
      <c r="A17" s="420">
        <v>10</v>
      </c>
      <c r="B17" s="521" t="s">
        <v>582</v>
      </c>
      <c r="C17" s="95"/>
      <c r="D17" s="526"/>
      <c r="E17" s="95"/>
      <c r="F17" s="95"/>
      <c r="G17" s="522"/>
    </row>
    <row r="18" spans="1:9" x14ac:dyDescent="0.3">
      <c r="A18" s="420">
        <v>11</v>
      </c>
      <c r="B18" s="521" t="s">
        <v>139</v>
      </c>
      <c r="C18" s="95">
        <f>SUM(C19:C20)</f>
        <v>6905714.9064750746</v>
      </c>
      <c r="D18" s="526">
        <f>SUM(D19:D20)</f>
        <v>0</v>
      </c>
      <c r="E18" s="95">
        <f>SUM(E19:E20)</f>
        <v>0</v>
      </c>
      <c r="F18" s="95">
        <f>SUM(F19:F20)</f>
        <v>0</v>
      </c>
      <c r="G18" s="522">
        <f>SUM(G19:G20)</f>
        <v>0</v>
      </c>
      <c r="H18" s="500"/>
    </row>
    <row r="19" spans="1:9" x14ac:dyDescent="0.3">
      <c r="A19" s="420">
        <v>12</v>
      </c>
      <c r="B19" s="523" t="s">
        <v>583</v>
      </c>
      <c r="C19" s="524"/>
      <c r="D19" s="526">
        <v>0</v>
      </c>
      <c r="E19" s="95"/>
      <c r="F19" s="95"/>
      <c r="G19" s="522">
        <f>D19*0</f>
        <v>0</v>
      </c>
      <c r="H19" s="208"/>
    </row>
    <row r="20" spans="1:9" ht="27.6" x14ac:dyDescent="0.3">
      <c r="A20" s="420">
        <v>13</v>
      </c>
      <c r="B20" s="523" t="s">
        <v>584</v>
      </c>
      <c r="C20" s="95">
        <v>6905714.9064750746</v>
      </c>
      <c r="D20" s="95"/>
      <c r="E20" s="95"/>
      <c r="F20" s="95"/>
      <c r="G20" s="522">
        <f>C20*0</f>
        <v>0</v>
      </c>
      <c r="H20" s="500"/>
    </row>
    <row r="21" spans="1:9" x14ac:dyDescent="0.3">
      <c r="A21" s="530">
        <v>14</v>
      </c>
      <c r="B21" s="531" t="s">
        <v>585</v>
      </c>
      <c r="C21" s="524"/>
      <c r="D21" s="524"/>
      <c r="E21" s="524"/>
      <c r="F21" s="524"/>
      <c r="G21" s="532">
        <f>SUM(G8,G11,G14,G17,G18,G10)</f>
        <v>155693912.13205886</v>
      </c>
      <c r="H21" s="500"/>
    </row>
    <row r="22" spans="1:9" x14ac:dyDescent="0.3">
      <c r="A22" s="533"/>
      <c r="B22" s="534" t="s">
        <v>88</v>
      </c>
      <c r="C22" s="535"/>
      <c r="D22" s="536"/>
      <c r="E22" s="535"/>
      <c r="F22" s="535"/>
      <c r="G22" s="537"/>
    </row>
    <row r="23" spans="1:9" x14ac:dyDescent="0.3">
      <c r="A23" s="420">
        <v>15</v>
      </c>
      <c r="B23" s="521" t="s">
        <v>494</v>
      </c>
      <c r="C23" s="96">
        <v>54869552.930000015</v>
      </c>
      <c r="D23" s="96"/>
      <c r="E23" s="96"/>
      <c r="F23" s="96">
        <v>537002.5</v>
      </c>
      <c r="G23" s="538">
        <v>2974397.4995000004</v>
      </c>
      <c r="H23" s="500"/>
      <c r="I23" s="500">
        <v>0</v>
      </c>
    </row>
    <row r="24" spans="1:9" x14ac:dyDescent="0.3">
      <c r="A24" s="420">
        <v>16</v>
      </c>
      <c r="B24" s="521" t="s">
        <v>586</v>
      </c>
      <c r="C24" s="95">
        <f>SUM(C25:C27,C29,C31)</f>
        <v>0</v>
      </c>
      <c r="D24" s="526">
        <f>SUM(D25:D27,D29,D31)</f>
        <v>6003262.1009281464</v>
      </c>
      <c r="E24" s="95">
        <f>SUM(E25:E27,E29,E31)</f>
        <v>6397701.6982967854</v>
      </c>
      <c r="F24" s="95">
        <f>SUM(F25:F27,F29,F31)</f>
        <v>122454953.73055451</v>
      </c>
      <c r="G24" s="522">
        <f>SUM(G25:G27,G29,G31)</f>
        <v>111177649.43985081</v>
      </c>
      <c r="I24" s="500"/>
    </row>
    <row r="25" spans="1:9" ht="27.6" x14ac:dyDescent="0.3">
      <c r="A25" s="420">
        <v>17</v>
      </c>
      <c r="B25" s="523" t="s">
        <v>587</v>
      </c>
      <c r="C25" s="95"/>
      <c r="D25" s="526"/>
      <c r="E25" s="95"/>
      <c r="F25" s="95"/>
      <c r="G25" s="522"/>
    </row>
    <row r="26" spans="1:9" ht="27.6" x14ac:dyDescent="0.3">
      <c r="A26" s="420">
        <v>18</v>
      </c>
      <c r="B26" s="523" t="s">
        <v>588</v>
      </c>
      <c r="C26" s="95"/>
      <c r="D26" s="526">
        <v>480827.12</v>
      </c>
      <c r="E26" s="95"/>
      <c r="F26" s="95"/>
      <c r="G26" s="522">
        <f>D26*0.15</f>
        <v>72124.067999999999</v>
      </c>
      <c r="H26" s="500"/>
      <c r="I26" s="500">
        <v>0</v>
      </c>
    </row>
    <row r="27" spans="1:9" x14ac:dyDescent="0.3">
      <c r="A27" s="420">
        <v>19</v>
      </c>
      <c r="B27" s="523" t="s">
        <v>589</v>
      </c>
      <c r="C27" s="95"/>
      <c r="D27" s="96">
        <v>5522434.9809281463</v>
      </c>
      <c r="E27" s="96">
        <v>6397701.6982967854</v>
      </c>
      <c r="F27" s="96">
        <v>121634511.65969306</v>
      </c>
      <c r="G27" s="522">
        <v>110408149.61161856</v>
      </c>
      <c r="H27" s="500"/>
      <c r="I27" s="500"/>
    </row>
    <row r="28" spans="1:9" x14ac:dyDescent="0.3">
      <c r="A28" s="420">
        <v>20</v>
      </c>
      <c r="B28" s="539" t="s">
        <v>590</v>
      </c>
      <c r="C28" s="95"/>
      <c r="E28" s="95"/>
      <c r="F28" s="95"/>
      <c r="G28" s="522"/>
    </row>
    <row r="29" spans="1:9" x14ac:dyDescent="0.3">
      <c r="A29" s="420">
        <v>21</v>
      </c>
      <c r="B29" s="523" t="s">
        <v>591</v>
      </c>
      <c r="C29" s="95"/>
      <c r="D29" s="526"/>
      <c r="E29" s="95"/>
      <c r="F29" s="95"/>
      <c r="G29" s="522"/>
    </row>
    <row r="30" spans="1:9" x14ac:dyDescent="0.3">
      <c r="A30" s="420">
        <v>22</v>
      </c>
      <c r="B30" s="539" t="s">
        <v>590</v>
      </c>
      <c r="C30" s="95"/>
      <c r="D30" s="526"/>
      <c r="E30" s="95"/>
      <c r="F30" s="95"/>
      <c r="G30" s="522"/>
    </row>
    <row r="31" spans="1:9" ht="27.6" x14ac:dyDescent="0.3">
      <c r="A31" s="420">
        <v>23</v>
      </c>
      <c r="B31" s="523" t="s">
        <v>592</v>
      </c>
      <c r="C31" s="95"/>
      <c r="D31" s="96">
        <v>0</v>
      </c>
      <c r="E31" s="96"/>
      <c r="F31" s="95">
        <v>820442.07086145005</v>
      </c>
      <c r="G31" s="522">
        <f>E31*0.5+F31*0.85</f>
        <v>697375.76023223251</v>
      </c>
      <c r="H31" s="500"/>
      <c r="I31"/>
    </row>
    <row r="32" spans="1:9" x14ac:dyDescent="0.3">
      <c r="A32" s="420">
        <v>24</v>
      </c>
      <c r="B32" s="521" t="s">
        <v>593</v>
      </c>
      <c r="C32" s="95"/>
      <c r="D32" s="526"/>
      <c r="E32" s="95"/>
      <c r="F32" s="95"/>
      <c r="G32" s="522"/>
    </row>
    <row r="33" spans="1:9" x14ac:dyDescent="0.3">
      <c r="A33" s="420">
        <v>25</v>
      </c>
      <c r="B33" s="521" t="s">
        <v>122</v>
      </c>
      <c r="C33" s="95">
        <f>SUM(C34:C35)</f>
        <v>979252.20215199888</v>
      </c>
      <c r="D33" s="95">
        <f>SUM(D34:D35)</f>
        <v>677598.47000000253</v>
      </c>
      <c r="E33" s="95">
        <f>SUM(E34:E35)</f>
        <v>0</v>
      </c>
      <c r="F33" s="95">
        <f>SUM(F34:F35)</f>
        <v>18685495.68485241</v>
      </c>
      <c r="G33" s="522">
        <f>SUM(G34:G35)</f>
        <v>20162926.122004412</v>
      </c>
    </row>
    <row r="34" spans="1:9" x14ac:dyDescent="0.3">
      <c r="A34" s="420">
        <v>26</v>
      </c>
      <c r="B34" s="523" t="s">
        <v>594</v>
      </c>
      <c r="C34" s="524"/>
      <c r="D34" s="526">
        <v>318758</v>
      </c>
      <c r="E34" s="95"/>
      <c r="F34" s="95"/>
      <c r="G34" s="522">
        <f>D34*1</f>
        <v>318758</v>
      </c>
      <c r="H34" s="500"/>
      <c r="I34" s="500">
        <v>0</v>
      </c>
    </row>
    <row r="35" spans="1:9" x14ac:dyDescent="0.3">
      <c r="A35" s="420">
        <v>27</v>
      </c>
      <c r="B35" s="523" t="s">
        <v>595</v>
      </c>
      <c r="C35" s="95">
        <f>'2. SOFP'!E25-'2. SOFP'!C64-'2. SOFP'!C29</f>
        <v>979252.20215199888</v>
      </c>
      <c r="D35" s="526">
        <v>358840.47000000253</v>
      </c>
      <c r="E35" s="95"/>
      <c r="F35" s="95">
        <v>18685495.68485241</v>
      </c>
      <c r="G35" s="522">
        <f>C35+D35*0.5+F35</f>
        <v>19844168.122004412</v>
      </c>
      <c r="H35" s="500"/>
    </row>
    <row r="36" spans="1:9" x14ac:dyDescent="0.3">
      <c r="A36" s="420">
        <v>28</v>
      </c>
      <c r="B36" s="521" t="s">
        <v>596</v>
      </c>
      <c r="C36" s="95"/>
      <c r="D36" s="526">
        <v>33165696.309999999</v>
      </c>
      <c r="E36" s="95">
        <v>242982</v>
      </c>
      <c r="F36" s="95">
        <v>250000</v>
      </c>
      <c r="G36" s="522">
        <f>D36*0.05+E36*0.1+F36*0.15</f>
        <v>1720083.0155</v>
      </c>
    </row>
    <row r="37" spans="1:9" x14ac:dyDescent="0.3">
      <c r="A37" s="530">
        <v>29</v>
      </c>
      <c r="B37" s="531" t="s">
        <v>597</v>
      </c>
      <c r="C37" s="524"/>
      <c r="D37" s="524"/>
      <c r="E37" s="524"/>
      <c r="F37" s="524"/>
      <c r="G37" s="532">
        <f>SUM(G23:G24,G32:G33,G36)</f>
        <v>136035056.07685524</v>
      </c>
      <c r="H37" s="500"/>
      <c r="I37" s="500"/>
    </row>
    <row r="38" spans="1:9" x14ac:dyDescent="0.3">
      <c r="A38" s="517"/>
      <c r="B38" s="540"/>
      <c r="C38" s="541"/>
      <c r="D38" s="541"/>
      <c r="E38" s="541"/>
      <c r="F38" s="541"/>
      <c r="G38" s="542"/>
    </row>
    <row r="39" spans="1:9" ht="15" thickBot="1" x14ac:dyDescent="0.35">
      <c r="A39" s="543">
        <v>30</v>
      </c>
      <c r="B39" s="544" t="s">
        <v>33</v>
      </c>
      <c r="C39" s="454"/>
      <c r="D39" s="455"/>
      <c r="E39" s="455"/>
      <c r="F39" s="456"/>
      <c r="G39" s="545">
        <f>IFERROR(G21/G37,0)</f>
        <v>1.144513161696328</v>
      </c>
      <c r="I39" s="751"/>
    </row>
    <row r="41" spans="1:9" x14ac:dyDescent="0.3">
      <c r="D41" s="546"/>
      <c r="G41" s="758"/>
    </row>
    <row r="42" spans="1:9" ht="41.4" x14ac:dyDescent="0.3">
      <c r="B42" s="87" t="s">
        <v>598</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8636-31BC-4625-A868-9CB0A9879896}">
  <sheetPr>
    <tabColor theme="2" tint="-9.9978637043366805E-2"/>
  </sheetPr>
  <dimension ref="A1:J22"/>
  <sheetViews>
    <sheetView showGridLines="0" topLeftCell="C1" zoomScaleNormal="100" workbookViewId="0">
      <selection activeCell="H8" sqref="C8:H22"/>
    </sheetView>
  </sheetViews>
  <sheetFormatPr defaultColWidth="9.33203125" defaultRowHeight="12" x14ac:dyDescent="0.25"/>
  <cols>
    <col min="1" max="1" width="11.6640625" style="548" bestFit="1" customWidth="1"/>
    <col min="2" max="2" width="105.33203125" style="548" bestFit="1" customWidth="1"/>
    <col min="3" max="3" width="14.109375" style="548" bestFit="1" customWidth="1"/>
    <col min="4" max="4" width="14.109375" style="548" customWidth="1"/>
    <col min="5" max="5" width="17.44140625" style="548" bestFit="1" customWidth="1"/>
    <col min="6" max="6" width="13.44140625" style="548" customWidth="1"/>
    <col min="7" max="7" width="21" style="548" customWidth="1"/>
    <col min="8" max="8" width="15.5546875" style="548" customWidth="1"/>
    <col min="9" max="9" width="14" style="548" customWidth="1"/>
    <col min="10" max="10" width="10.109375" style="548" bestFit="1" customWidth="1"/>
    <col min="11" max="16384" width="9.33203125" style="548"/>
  </cols>
  <sheetData>
    <row r="1" spans="1:10" ht="13.8" x14ac:dyDescent="0.3">
      <c r="A1" s="547" t="s">
        <v>44</v>
      </c>
      <c r="B1" s="20" t="str">
        <f>Info!C2</f>
        <v>სს სილქ ბანკი</v>
      </c>
    </row>
    <row r="2" spans="1:10" x14ac:dyDescent="0.25">
      <c r="A2" s="547" t="s">
        <v>45</v>
      </c>
      <c r="B2" s="590">
        <f>'1. key ratios'!B2</f>
        <v>46112</v>
      </c>
    </row>
    <row r="3" spans="1:10" x14ac:dyDescent="0.25">
      <c r="A3" s="550" t="s">
        <v>599</v>
      </c>
    </row>
    <row r="5" spans="1:10" x14ac:dyDescent="0.25">
      <c r="A5" s="857" t="s">
        <v>600</v>
      </c>
      <c r="B5" s="858"/>
      <c r="C5" s="863" t="s">
        <v>601</v>
      </c>
      <c r="D5" s="864"/>
      <c r="E5" s="864"/>
      <c r="F5" s="864"/>
      <c r="G5" s="864"/>
      <c r="H5" s="865"/>
    </row>
    <row r="6" spans="1:10" x14ac:dyDescent="0.25">
      <c r="A6" s="859"/>
      <c r="B6" s="860"/>
      <c r="C6" s="866"/>
      <c r="D6" s="867"/>
      <c r="E6" s="867"/>
      <c r="F6" s="867"/>
      <c r="G6" s="867"/>
      <c r="H6" s="868"/>
    </row>
    <row r="7" spans="1:10" ht="24" x14ac:dyDescent="0.25">
      <c r="A7" s="861"/>
      <c r="B7" s="862"/>
      <c r="C7" s="551" t="s">
        <v>602</v>
      </c>
      <c r="D7" s="551" t="s">
        <v>603</v>
      </c>
      <c r="E7" s="551" t="s">
        <v>604</v>
      </c>
      <c r="F7" s="551" t="s">
        <v>605</v>
      </c>
      <c r="G7" s="551" t="s">
        <v>606</v>
      </c>
      <c r="H7" s="551" t="s">
        <v>96</v>
      </c>
    </row>
    <row r="8" spans="1:10" x14ac:dyDescent="0.25">
      <c r="A8" s="552">
        <v>1</v>
      </c>
      <c r="B8" s="553" t="s">
        <v>442</v>
      </c>
      <c r="C8" s="554">
        <v>3077954.38</v>
      </c>
      <c r="D8" s="555">
        <v>0</v>
      </c>
      <c r="E8" s="554">
        <v>16988852.280861448</v>
      </c>
      <c r="F8" s="554">
        <v>0</v>
      </c>
      <c r="G8" s="555"/>
      <c r="H8" s="595">
        <f t="shared" ref="H8:H20" si="0">SUM(C8:G8)</f>
        <v>20066806.660861447</v>
      </c>
    </row>
    <row r="9" spans="1:10" x14ac:dyDescent="0.25">
      <c r="A9" s="552">
        <v>2</v>
      </c>
      <c r="B9" s="553" t="s">
        <v>443</v>
      </c>
      <c r="C9" s="555"/>
      <c r="D9" s="555"/>
      <c r="E9" s="555"/>
      <c r="F9" s="555"/>
      <c r="G9" s="555"/>
      <c r="H9" s="595">
        <f t="shared" si="0"/>
        <v>0</v>
      </c>
    </row>
    <row r="10" spans="1:10" x14ac:dyDescent="0.25">
      <c r="A10" s="552">
        <v>3</v>
      </c>
      <c r="B10" s="553" t="s">
        <v>444</v>
      </c>
      <c r="C10" s="555"/>
      <c r="D10" s="555"/>
      <c r="E10" s="555"/>
      <c r="F10" s="555"/>
      <c r="G10" s="555"/>
      <c r="H10" s="595">
        <f t="shared" si="0"/>
        <v>0</v>
      </c>
    </row>
    <row r="11" spans="1:10" x14ac:dyDescent="0.25">
      <c r="A11" s="552">
        <v>4</v>
      </c>
      <c r="B11" s="553" t="s">
        <v>445</v>
      </c>
      <c r="C11" s="555"/>
      <c r="D11" s="555"/>
      <c r="E11" s="555"/>
      <c r="F11" s="555"/>
      <c r="G11" s="555"/>
      <c r="H11" s="595">
        <f t="shared" si="0"/>
        <v>0</v>
      </c>
      <c r="I11" s="557"/>
    </row>
    <row r="12" spans="1:10" x14ac:dyDescent="0.25">
      <c r="A12" s="552">
        <v>5</v>
      </c>
      <c r="B12" s="553" t="s">
        <v>446</v>
      </c>
      <c r="C12" s="555"/>
      <c r="D12" s="555"/>
      <c r="E12" s="555"/>
      <c r="F12" s="555"/>
      <c r="G12" s="555"/>
      <c r="H12" s="595">
        <f t="shared" si="0"/>
        <v>0</v>
      </c>
    </row>
    <row r="13" spans="1:10" x14ac:dyDescent="0.25">
      <c r="A13" s="552">
        <v>6</v>
      </c>
      <c r="B13" s="553" t="s">
        <v>447</v>
      </c>
      <c r="C13" s="555">
        <v>12956159.870000005</v>
      </c>
      <c r="D13" s="554">
        <v>21000000</v>
      </c>
      <c r="E13" s="555"/>
      <c r="F13" s="554">
        <v>0</v>
      </c>
      <c r="G13" s="555"/>
      <c r="H13" s="595">
        <f t="shared" si="0"/>
        <v>33956159.870000005</v>
      </c>
      <c r="I13" s="558"/>
    </row>
    <row r="14" spans="1:10" x14ac:dyDescent="0.25">
      <c r="A14" s="552">
        <v>7</v>
      </c>
      <c r="B14" s="553" t="s">
        <v>448</v>
      </c>
      <c r="C14" s="555"/>
      <c r="D14" s="554">
        <v>6241366.9386237133</v>
      </c>
      <c r="E14" s="554">
        <v>14769185.516595419</v>
      </c>
      <c r="F14" s="554">
        <v>27525346.875872444</v>
      </c>
      <c r="G14" s="555">
        <v>9648.2838088877197</v>
      </c>
      <c r="H14" s="595">
        <f t="shared" si="0"/>
        <v>48545547.61490047</v>
      </c>
      <c r="I14" s="559"/>
      <c r="J14" s="560"/>
    </row>
    <row r="15" spans="1:10" x14ac:dyDescent="0.25">
      <c r="A15" s="552">
        <v>8</v>
      </c>
      <c r="B15" s="561" t="s">
        <v>449</v>
      </c>
      <c r="C15" s="555"/>
      <c r="D15" s="554">
        <v>5704500.2798857214</v>
      </c>
      <c r="E15" s="554">
        <v>75465228.954529107</v>
      </c>
      <c r="F15" s="554">
        <v>3789525.7458722023</v>
      </c>
      <c r="G15" s="554">
        <v>49845.743730027265</v>
      </c>
      <c r="H15" s="595">
        <f t="shared" si="0"/>
        <v>85009100.724017054</v>
      </c>
    </row>
    <row r="16" spans="1:10" x14ac:dyDescent="0.25">
      <c r="A16" s="552">
        <v>9</v>
      </c>
      <c r="B16" s="553" t="s">
        <v>450</v>
      </c>
      <c r="C16" s="555"/>
      <c r="D16" s="555"/>
      <c r="E16" s="555"/>
      <c r="F16" s="555"/>
      <c r="G16" s="555"/>
      <c r="H16" s="595">
        <f t="shared" si="0"/>
        <v>0</v>
      </c>
    </row>
    <row r="17" spans="1:10" x14ac:dyDescent="0.25">
      <c r="A17" s="552">
        <v>10</v>
      </c>
      <c r="B17" s="562" t="s">
        <v>607</v>
      </c>
      <c r="C17" s="555"/>
      <c r="D17" s="555">
        <v>99105.230559521893</v>
      </c>
      <c r="E17" s="555">
        <v>2148581.3091075229</v>
      </c>
      <c r="F17" s="555">
        <v>539941.56994602294</v>
      </c>
      <c r="G17" s="555">
        <v>7.3444311326738818</v>
      </c>
      <c r="H17" s="595">
        <f t="shared" si="0"/>
        <v>2787635.4540442</v>
      </c>
      <c r="I17" s="557"/>
    </row>
    <row r="18" spans="1:10" x14ac:dyDescent="0.25">
      <c r="A18" s="552">
        <v>11</v>
      </c>
      <c r="B18" s="553" t="s">
        <v>452</v>
      </c>
      <c r="C18" s="555"/>
      <c r="D18" s="555">
        <v>0</v>
      </c>
      <c r="E18" s="555">
        <v>0</v>
      </c>
      <c r="F18" s="555">
        <v>0</v>
      </c>
      <c r="G18" s="555">
        <v>0</v>
      </c>
      <c r="H18" s="595">
        <f t="shared" si="0"/>
        <v>0</v>
      </c>
    </row>
    <row r="19" spans="1:10" x14ac:dyDescent="0.25">
      <c r="A19" s="552">
        <v>12</v>
      </c>
      <c r="B19" s="553" t="s">
        <v>453</v>
      </c>
      <c r="C19" s="555"/>
      <c r="D19" s="555"/>
      <c r="E19" s="555"/>
      <c r="F19" s="555"/>
      <c r="G19" s="555"/>
      <c r="H19" s="595">
        <f t="shared" si="0"/>
        <v>0</v>
      </c>
    </row>
    <row r="20" spans="1:10" x14ac:dyDescent="0.25">
      <c r="A20" s="563">
        <v>13</v>
      </c>
      <c r="B20" s="561" t="s">
        <v>454</v>
      </c>
      <c r="C20" s="555"/>
      <c r="D20" s="555"/>
      <c r="E20" s="555"/>
      <c r="F20" s="555"/>
      <c r="G20" s="555"/>
      <c r="H20" s="595">
        <f t="shared" si="0"/>
        <v>0</v>
      </c>
      <c r="J20" s="557"/>
    </row>
    <row r="21" spans="1:10" x14ac:dyDescent="0.25">
      <c r="A21" s="552">
        <v>14</v>
      </c>
      <c r="B21" s="553" t="s">
        <v>608</v>
      </c>
      <c r="C21" s="555">
        <v>3043698.5599999996</v>
      </c>
      <c r="D21" s="555">
        <v>6265974.3288531937</v>
      </c>
      <c r="E21" s="555">
        <v>0</v>
      </c>
      <c r="F21" s="555"/>
      <c r="G21" s="555">
        <v>17379909</v>
      </c>
      <c r="H21" s="595">
        <f>SUM(C21:G21)</f>
        <v>26689581.888853192</v>
      </c>
      <c r="J21" s="557"/>
    </row>
    <row r="22" spans="1:10" x14ac:dyDescent="0.25">
      <c r="A22" s="564">
        <v>15</v>
      </c>
      <c r="B22" s="556" t="s">
        <v>96</v>
      </c>
      <c r="C22" s="595">
        <f>SUM(C18:C21)+SUM(C8:C16)</f>
        <v>19077812.810000002</v>
      </c>
      <c r="D22" s="595">
        <f t="shared" ref="D22:H22" si="1">SUM(D18:D21)+SUM(D8:D16)</f>
        <v>39211841.547362626</v>
      </c>
      <c r="E22" s="595">
        <f t="shared" si="1"/>
        <v>107223266.75198597</v>
      </c>
      <c r="F22" s="595">
        <f t="shared" si="1"/>
        <v>31314872.621744648</v>
      </c>
      <c r="G22" s="595">
        <f t="shared" si="1"/>
        <v>17439403.027538914</v>
      </c>
      <c r="H22" s="595">
        <f t="shared" si="1"/>
        <v>214267196.75863218</v>
      </c>
    </row>
  </sheetData>
  <mergeCells count="2">
    <mergeCell ref="A5:B7"/>
    <mergeCell ref="C5:H6"/>
  </mergeCells>
  <conditionalFormatting sqref="A5">
    <cfRule type="duplicateValues" dxfId="26" priority="1"/>
    <cfRule type="duplicateValues" dxfId="25" priority="2"/>
    <cfRule type="duplicateValues" dxfId="24"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5532F-498D-4C0D-AB9B-04B9EB1434A2}">
  <sheetPr>
    <tabColor theme="2" tint="-9.9978637043366805E-2"/>
  </sheetPr>
  <dimension ref="A1:H23"/>
  <sheetViews>
    <sheetView showGridLines="0" topLeftCell="D1" zoomScale="115" zoomScaleNormal="115" workbookViewId="0">
      <selection activeCell="H7" sqref="C7:H23"/>
    </sheetView>
  </sheetViews>
  <sheetFormatPr defaultColWidth="9.33203125" defaultRowHeight="12" x14ac:dyDescent="0.25"/>
  <cols>
    <col min="1" max="1" width="11.6640625" style="589" bestFit="1" customWidth="1"/>
    <col min="2" max="2" width="86.6640625" style="548" customWidth="1"/>
    <col min="3" max="4" width="31.5546875" style="548" customWidth="1"/>
    <col min="5" max="5" width="16.44140625" style="548" bestFit="1" customWidth="1"/>
    <col min="6" max="6" width="14.33203125" style="548" bestFit="1" customWidth="1"/>
    <col min="7" max="7" width="20" style="548" bestFit="1" customWidth="1"/>
    <col min="8" max="8" width="25.33203125" style="548" bestFit="1" customWidth="1"/>
    <col min="9" max="16384" width="9.33203125" style="548"/>
  </cols>
  <sheetData>
    <row r="1" spans="1:8" ht="13.8" x14ac:dyDescent="0.3">
      <c r="A1" s="547" t="s">
        <v>44</v>
      </c>
      <c r="B1" s="20" t="str">
        <f>Info!C2</f>
        <v>სს სილქ ბანკი</v>
      </c>
      <c r="C1" s="565"/>
      <c r="D1" s="565"/>
      <c r="E1" s="565"/>
      <c r="F1" s="565"/>
      <c r="G1" s="565"/>
      <c r="H1" s="565"/>
    </row>
    <row r="2" spans="1:8" x14ac:dyDescent="0.25">
      <c r="A2" s="547" t="s">
        <v>45</v>
      </c>
      <c r="B2" s="549">
        <f>'1. key ratios'!B2</f>
        <v>46112</v>
      </c>
      <c r="C2" s="565"/>
      <c r="D2" s="565"/>
      <c r="E2" s="565"/>
      <c r="F2" s="565"/>
      <c r="G2" s="565"/>
      <c r="H2" s="565"/>
    </row>
    <row r="3" spans="1:8" x14ac:dyDescent="0.25">
      <c r="A3" s="550" t="s">
        <v>609</v>
      </c>
      <c r="B3" s="565"/>
      <c r="C3" s="565"/>
      <c r="D3" s="565"/>
      <c r="E3" s="565"/>
      <c r="F3" s="565"/>
      <c r="G3" s="565"/>
      <c r="H3" s="565"/>
    </row>
    <row r="4" spans="1:8" x14ac:dyDescent="0.25">
      <c r="A4" s="566"/>
      <c r="B4" s="565"/>
      <c r="C4" s="567" t="s">
        <v>610</v>
      </c>
      <c r="D4" s="567" t="s">
        <v>611</v>
      </c>
      <c r="E4" s="567" t="s">
        <v>612</v>
      </c>
      <c r="F4" s="567" t="s">
        <v>613</v>
      </c>
      <c r="G4" s="567" t="s">
        <v>614</v>
      </c>
      <c r="H4" s="567" t="s">
        <v>615</v>
      </c>
    </row>
    <row r="5" spans="1:8" ht="34.200000000000003" customHeight="1" x14ac:dyDescent="0.25">
      <c r="A5" s="857" t="s">
        <v>616</v>
      </c>
      <c r="B5" s="858"/>
      <c r="C5" s="869" t="s">
        <v>617</v>
      </c>
      <c r="D5" s="869"/>
      <c r="E5" s="869" t="s">
        <v>618</v>
      </c>
      <c r="F5" s="870" t="s">
        <v>619</v>
      </c>
      <c r="G5" s="870" t="s">
        <v>620</v>
      </c>
      <c r="H5" s="568" t="s">
        <v>621</v>
      </c>
    </row>
    <row r="6" spans="1:8" ht="24" x14ac:dyDescent="0.25">
      <c r="A6" s="861"/>
      <c r="B6" s="862"/>
      <c r="C6" s="569" t="s">
        <v>622</v>
      </c>
      <c r="D6" s="569" t="s">
        <v>623</v>
      </c>
      <c r="E6" s="869"/>
      <c r="F6" s="871"/>
      <c r="G6" s="871"/>
      <c r="H6" s="568" t="s">
        <v>624</v>
      </c>
    </row>
    <row r="7" spans="1:8" x14ac:dyDescent="0.25">
      <c r="A7" s="571">
        <v>1</v>
      </c>
      <c r="B7" s="553" t="s">
        <v>442</v>
      </c>
      <c r="C7" s="572"/>
      <c r="D7" s="573">
        <v>20118182.95000001</v>
      </c>
      <c r="E7" s="573">
        <v>51376.289138550033</v>
      </c>
      <c r="F7" s="574"/>
      <c r="G7" s="574"/>
      <c r="H7" s="575">
        <f t="shared" ref="H7:H20" si="0">C7+D7-E7-F7</f>
        <v>20066806.660861459</v>
      </c>
    </row>
    <row r="8" spans="1:8" ht="14.7" customHeight="1" x14ac:dyDescent="0.25">
      <c r="A8" s="571">
        <v>2</v>
      </c>
      <c r="B8" s="553" t="s">
        <v>443</v>
      </c>
      <c r="C8" s="572"/>
      <c r="D8" s="572">
        <v>0</v>
      </c>
      <c r="E8" s="574"/>
      <c r="F8" s="574"/>
      <c r="G8" s="574"/>
      <c r="H8" s="575">
        <f t="shared" si="0"/>
        <v>0</v>
      </c>
    </row>
    <row r="9" spans="1:8" x14ac:dyDescent="0.25">
      <c r="A9" s="571">
        <v>3</v>
      </c>
      <c r="B9" s="553" t="s">
        <v>444</v>
      </c>
      <c r="C9" s="572"/>
      <c r="D9" s="572">
        <v>0</v>
      </c>
      <c r="E9" s="574"/>
      <c r="F9" s="574"/>
      <c r="G9" s="574"/>
      <c r="H9" s="575">
        <f t="shared" si="0"/>
        <v>0</v>
      </c>
    </row>
    <row r="10" spans="1:8" x14ac:dyDescent="0.25">
      <c r="A10" s="571">
        <v>4</v>
      </c>
      <c r="B10" s="553" t="s">
        <v>445</v>
      </c>
      <c r="C10" s="572"/>
      <c r="D10" s="572">
        <v>0</v>
      </c>
      <c r="E10" s="574"/>
      <c r="F10" s="574"/>
      <c r="G10" s="574"/>
      <c r="H10" s="575">
        <f t="shared" si="0"/>
        <v>0</v>
      </c>
    </row>
    <row r="11" spans="1:8" x14ac:dyDescent="0.25">
      <c r="A11" s="571">
        <v>5</v>
      </c>
      <c r="B11" s="553" t="s">
        <v>446</v>
      </c>
      <c r="C11" s="572"/>
      <c r="D11" s="572">
        <v>0</v>
      </c>
      <c r="E11" s="574"/>
      <c r="F11" s="574"/>
      <c r="G11" s="574"/>
      <c r="H11" s="575">
        <f t="shared" si="0"/>
        <v>0</v>
      </c>
    </row>
    <row r="12" spans="1:8" x14ac:dyDescent="0.25">
      <c r="A12" s="571">
        <v>6</v>
      </c>
      <c r="B12" s="553" t="s">
        <v>447</v>
      </c>
      <c r="C12" s="576"/>
      <c r="D12" s="576">
        <v>33956159.870000005</v>
      </c>
      <c r="E12" s="577"/>
      <c r="F12" s="574"/>
      <c r="G12" s="574"/>
      <c r="H12" s="575">
        <f t="shared" si="0"/>
        <v>33956159.870000005</v>
      </c>
    </row>
    <row r="13" spans="1:8" x14ac:dyDescent="0.25">
      <c r="A13" s="571">
        <v>7</v>
      </c>
      <c r="B13" s="553" t="s">
        <v>448</v>
      </c>
      <c r="C13" s="576">
        <v>5264838.2276515495</v>
      </c>
      <c r="D13" s="578">
        <v>45219243.9454882</v>
      </c>
      <c r="E13" s="579">
        <v>1943227.166391247</v>
      </c>
      <c r="F13" s="574"/>
      <c r="G13" s="574"/>
      <c r="H13" s="575">
        <f t="shared" si="0"/>
        <v>48540855.006748505</v>
      </c>
    </row>
    <row r="14" spans="1:8" x14ac:dyDescent="0.25">
      <c r="A14" s="571">
        <v>8</v>
      </c>
      <c r="B14" s="561" t="s">
        <v>449</v>
      </c>
      <c r="C14" s="576">
        <v>3372700.4328398285</v>
      </c>
      <c r="D14" s="576">
        <v>86525515.522280633</v>
      </c>
      <c r="E14" s="579">
        <v>4884422.2311042687</v>
      </c>
      <c r="F14" s="574"/>
      <c r="G14" s="759">
        <v>20248.93</v>
      </c>
      <c r="H14" s="575">
        <f t="shared" si="0"/>
        <v>85013793.72401619</v>
      </c>
    </row>
    <row r="15" spans="1:8" x14ac:dyDescent="0.25">
      <c r="A15" s="571">
        <v>9</v>
      </c>
      <c r="B15" s="553" t="s">
        <v>450</v>
      </c>
      <c r="C15" s="576"/>
      <c r="D15" s="576">
        <v>0</v>
      </c>
      <c r="E15" s="577"/>
      <c r="F15" s="574"/>
      <c r="G15" s="574"/>
      <c r="H15" s="575">
        <f t="shared" si="0"/>
        <v>0</v>
      </c>
    </row>
    <row r="16" spans="1:8" x14ac:dyDescent="0.25">
      <c r="A16" s="571">
        <v>10</v>
      </c>
      <c r="B16" s="562" t="s">
        <v>607</v>
      </c>
      <c r="C16" s="576">
        <v>5919703.6049034204</v>
      </c>
      <c r="D16" s="576">
        <v>0</v>
      </c>
      <c r="E16" s="576">
        <v>3132067.40282583</v>
      </c>
      <c r="F16" s="574"/>
      <c r="G16" s="574"/>
      <c r="H16" s="575">
        <f t="shared" si="0"/>
        <v>2787636.2020775904</v>
      </c>
    </row>
    <row r="17" spans="1:8" x14ac:dyDescent="0.25">
      <c r="A17" s="571">
        <v>11</v>
      </c>
      <c r="B17" s="553" t="s">
        <v>452</v>
      </c>
      <c r="C17" s="576">
        <v>0</v>
      </c>
      <c r="D17" s="576">
        <v>0</v>
      </c>
      <c r="E17" s="576">
        <v>0</v>
      </c>
      <c r="F17" s="574"/>
      <c r="G17" s="574"/>
      <c r="H17" s="575">
        <f t="shared" si="0"/>
        <v>0</v>
      </c>
    </row>
    <row r="18" spans="1:8" x14ac:dyDescent="0.25">
      <c r="A18" s="571">
        <v>12</v>
      </c>
      <c r="B18" s="553" t="s">
        <v>453</v>
      </c>
      <c r="C18" s="576"/>
      <c r="D18" s="576">
        <v>0</v>
      </c>
      <c r="E18" s="577"/>
      <c r="F18" s="574"/>
      <c r="G18" s="574"/>
      <c r="H18" s="575">
        <f t="shared" si="0"/>
        <v>0</v>
      </c>
    </row>
    <row r="19" spans="1:8" x14ac:dyDescent="0.25">
      <c r="A19" s="580">
        <v>13</v>
      </c>
      <c r="B19" s="561" t="s">
        <v>454</v>
      </c>
      <c r="C19" s="576"/>
      <c r="D19" s="576">
        <v>0</v>
      </c>
      <c r="E19" s="577"/>
      <c r="F19" s="574"/>
      <c r="G19" s="574"/>
      <c r="H19" s="575">
        <f t="shared" si="0"/>
        <v>0</v>
      </c>
    </row>
    <row r="20" spans="1:8" x14ac:dyDescent="0.25">
      <c r="A20" s="571">
        <v>14</v>
      </c>
      <c r="B20" s="553" t="s">
        <v>608</v>
      </c>
      <c r="C20" s="576">
        <v>0</v>
      </c>
      <c r="D20" s="578">
        <v>26689581.888853192</v>
      </c>
      <c r="E20" s="579">
        <v>0</v>
      </c>
      <c r="F20" s="574"/>
      <c r="G20" s="574"/>
      <c r="H20" s="575">
        <f t="shared" si="0"/>
        <v>26689581.888853192</v>
      </c>
    </row>
    <row r="21" spans="1:8" s="585" customFormat="1" x14ac:dyDescent="0.25">
      <c r="A21" s="581">
        <v>15</v>
      </c>
      <c r="B21" s="582" t="s">
        <v>96</v>
      </c>
      <c r="C21" s="583">
        <f>SUM(C7:C15)+SUM(C17:C20)</f>
        <v>8637538.6604913771</v>
      </c>
      <c r="D21" s="583">
        <f>SUM(D7:D15)+SUM(D17:D20)</f>
        <v>212508684.17662203</v>
      </c>
      <c r="E21" s="583">
        <f>SUM(E7:E15)+SUM(E17:E20)</f>
        <v>6879025.6866340656</v>
      </c>
      <c r="F21" s="582">
        <f t="shared" ref="F21:H21" si="1">SUM(F7:F15)+SUM(F17:F20)</f>
        <v>0</v>
      </c>
      <c r="G21" s="584">
        <f t="shared" si="1"/>
        <v>20248.93</v>
      </c>
      <c r="H21" s="575">
        <f t="shared" si="1"/>
        <v>214267197.15047935</v>
      </c>
    </row>
    <row r="22" spans="1:8" x14ac:dyDescent="0.25">
      <c r="A22" s="586">
        <v>16</v>
      </c>
      <c r="B22" s="587" t="s">
        <v>625</v>
      </c>
      <c r="C22" s="576">
        <f>C13+C14+C17</f>
        <v>8637538.6604913771</v>
      </c>
      <c r="D22" s="576">
        <f>D13+D14+D17</f>
        <v>131744759.46776883</v>
      </c>
      <c r="E22" s="576">
        <f>E13+E14+E17</f>
        <v>6827649.3974955156</v>
      </c>
      <c r="F22" s="576">
        <f>F13+F14+F17</f>
        <v>0</v>
      </c>
      <c r="G22" s="588">
        <f>G13+G14+G17</f>
        <v>20248.93</v>
      </c>
      <c r="H22" s="575">
        <f>C22+D22-E22-F22</f>
        <v>133554648.73076469</v>
      </c>
    </row>
    <row r="23" spans="1:8" x14ac:dyDescent="0.25">
      <c r="A23" s="586">
        <v>17</v>
      </c>
      <c r="B23" s="587" t="s">
        <v>626</v>
      </c>
      <c r="C23" s="576"/>
      <c r="D23" s="578">
        <v>17040228.57</v>
      </c>
      <c r="E23" s="578">
        <v>51376.289138550033</v>
      </c>
      <c r="F23" s="574"/>
      <c r="G23" s="574"/>
      <c r="H23" s="575">
        <f>C23+D23-E23-F23</f>
        <v>16988852.280861448</v>
      </c>
    </row>
  </sheetData>
  <mergeCells count="5">
    <mergeCell ref="A5:B6"/>
    <mergeCell ref="C5:D5"/>
    <mergeCell ref="E5:E6"/>
    <mergeCell ref="F5:F6"/>
    <mergeCell ref="G5:G6"/>
  </mergeCells>
  <conditionalFormatting sqref="A5">
    <cfRule type="duplicateValues" dxfId="23" priority="1"/>
    <cfRule type="duplicateValues" dxfId="22" priority="2"/>
    <cfRule type="duplicateValues" dxfId="21"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8930-44D3-427D-898F-1930ECF36BFE}">
  <sheetPr>
    <tabColor theme="2" tint="-9.9978637043366805E-2"/>
  </sheetPr>
  <dimension ref="A1:H34"/>
  <sheetViews>
    <sheetView showGridLines="0" topLeftCell="E1" zoomScale="115" zoomScaleNormal="115" workbookViewId="0">
      <selection activeCell="C7" sqref="C7:H34"/>
    </sheetView>
  </sheetViews>
  <sheetFormatPr defaultColWidth="9.33203125" defaultRowHeight="12" x14ac:dyDescent="0.25"/>
  <cols>
    <col min="1" max="1" width="11" style="548" bestFit="1" customWidth="1"/>
    <col min="2" max="2" width="93.44140625" style="548" customWidth="1"/>
    <col min="3" max="4" width="35" style="548" customWidth="1"/>
    <col min="5" max="7" width="22" style="548" customWidth="1"/>
    <col min="8" max="8" width="42.33203125" style="548" bestFit="1" customWidth="1"/>
    <col min="9" max="16384" width="9.33203125" style="548"/>
  </cols>
  <sheetData>
    <row r="1" spans="1:8" ht="13.8" x14ac:dyDescent="0.3">
      <c r="A1" s="547" t="s">
        <v>44</v>
      </c>
      <c r="B1" s="20" t="str">
        <f>Info!C2</f>
        <v>სს სილქ ბანკი</v>
      </c>
      <c r="C1" s="565"/>
      <c r="D1" s="565"/>
      <c r="E1" s="565"/>
      <c r="F1" s="565"/>
      <c r="G1" s="565"/>
      <c r="H1" s="565"/>
    </row>
    <row r="2" spans="1:8" x14ac:dyDescent="0.25">
      <c r="A2" s="547" t="s">
        <v>45</v>
      </c>
      <c r="B2" s="590">
        <f>'1. key ratios'!B2</f>
        <v>46112</v>
      </c>
      <c r="C2" s="565"/>
      <c r="D2" s="565"/>
      <c r="E2" s="565"/>
      <c r="F2" s="565"/>
      <c r="G2" s="565"/>
      <c r="H2" s="565"/>
    </row>
    <row r="3" spans="1:8" x14ac:dyDescent="0.25">
      <c r="A3" s="550" t="s">
        <v>627</v>
      </c>
      <c r="B3" s="565"/>
      <c r="C3" s="565"/>
      <c r="D3" s="565"/>
      <c r="E3" s="565"/>
      <c r="F3" s="565"/>
      <c r="G3" s="565"/>
      <c r="H3" s="565"/>
    </row>
    <row r="4" spans="1:8" x14ac:dyDescent="0.25">
      <c r="A4" s="565"/>
      <c r="B4" s="565"/>
      <c r="C4" s="567" t="s">
        <v>610</v>
      </c>
      <c r="D4" s="567" t="s">
        <v>611</v>
      </c>
      <c r="E4" s="567" t="s">
        <v>612</v>
      </c>
      <c r="F4" s="567" t="s">
        <v>613</v>
      </c>
      <c r="G4" s="567" t="s">
        <v>614</v>
      </c>
      <c r="H4" s="567" t="s">
        <v>615</v>
      </c>
    </row>
    <row r="5" spans="1:8" ht="41.7" customHeight="1" x14ac:dyDescent="0.25">
      <c r="A5" s="857" t="s">
        <v>628</v>
      </c>
      <c r="B5" s="858"/>
      <c r="C5" s="872" t="s">
        <v>617</v>
      </c>
      <c r="D5" s="873"/>
      <c r="E5" s="870" t="s">
        <v>618</v>
      </c>
      <c r="F5" s="870" t="s">
        <v>619</v>
      </c>
      <c r="G5" s="870" t="s">
        <v>620</v>
      </c>
      <c r="H5" s="568" t="s">
        <v>621</v>
      </c>
    </row>
    <row r="6" spans="1:8" ht="24" x14ac:dyDescent="0.25">
      <c r="A6" s="861"/>
      <c r="B6" s="862"/>
      <c r="C6" s="569" t="s">
        <v>622</v>
      </c>
      <c r="D6" s="569" t="s">
        <v>623</v>
      </c>
      <c r="E6" s="871"/>
      <c r="F6" s="871"/>
      <c r="G6" s="871"/>
      <c r="H6" s="568" t="s">
        <v>624</v>
      </c>
    </row>
    <row r="7" spans="1:8" x14ac:dyDescent="0.25">
      <c r="A7" s="574">
        <v>1</v>
      </c>
      <c r="B7" s="592" t="s">
        <v>629</v>
      </c>
      <c r="C7" s="572">
        <v>216713.78223165506</v>
      </c>
      <c r="D7" s="572">
        <v>29028279.823033571</v>
      </c>
      <c r="E7" s="572">
        <v>388072.50748383091</v>
      </c>
      <c r="F7" s="572"/>
      <c r="G7" s="573">
        <v>2832.9199999999996</v>
      </c>
      <c r="H7" s="575">
        <f t="shared" ref="H7:H34" si="0">C7+D7-E7-F7</f>
        <v>28856921.097781394</v>
      </c>
    </row>
    <row r="8" spans="1:8" x14ac:dyDescent="0.25">
      <c r="A8" s="574">
        <v>2</v>
      </c>
      <c r="B8" s="592" t="s">
        <v>630</v>
      </c>
      <c r="C8" s="572">
        <v>150379.44542231169</v>
      </c>
      <c r="D8" s="572">
        <v>42324374.439989835</v>
      </c>
      <c r="E8" s="572">
        <v>208504.16447315706</v>
      </c>
      <c r="F8" s="572"/>
      <c r="G8" s="573">
        <v>6363.7</v>
      </c>
      <c r="H8" s="575">
        <f t="shared" si="0"/>
        <v>42266249.720938995</v>
      </c>
    </row>
    <row r="9" spans="1:8" x14ac:dyDescent="0.25">
      <c r="A9" s="574">
        <v>3</v>
      </c>
      <c r="B9" s="592" t="s">
        <v>631</v>
      </c>
      <c r="C9" s="572">
        <v>54918.605632114821</v>
      </c>
      <c r="D9" s="572">
        <v>121593.71903522342</v>
      </c>
      <c r="E9" s="572">
        <v>54279.040137755925</v>
      </c>
      <c r="F9" s="572"/>
      <c r="G9" s="573">
        <v>0</v>
      </c>
      <c r="H9" s="575">
        <f t="shared" si="0"/>
        <v>122233.28452958231</v>
      </c>
    </row>
    <row r="10" spans="1:8" x14ac:dyDescent="0.25">
      <c r="A10" s="574">
        <v>4</v>
      </c>
      <c r="B10" s="592" t="s">
        <v>632</v>
      </c>
      <c r="C10" s="572">
        <v>9173.3516415868671</v>
      </c>
      <c r="D10" s="572">
        <v>2212625.6886049081</v>
      </c>
      <c r="E10" s="572">
        <v>36101.682598474341</v>
      </c>
      <c r="F10" s="572"/>
      <c r="G10" s="573">
        <v>4548.96</v>
      </c>
      <c r="H10" s="575">
        <f t="shared" si="0"/>
        <v>2185697.3576480206</v>
      </c>
    </row>
    <row r="11" spans="1:8" x14ac:dyDescent="0.25">
      <c r="A11" s="574">
        <v>5</v>
      </c>
      <c r="B11" s="592" t="s">
        <v>633</v>
      </c>
      <c r="C11" s="572">
        <v>1016198.0410364827</v>
      </c>
      <c r="D11" s="572">
        <v>5077274.216136381</v>
      </c>
      <c r="E11" s="572">
        <v>522351.92477127974</v>
      </c>
      <c r="F11" s="572"/>
      <c r="G11" s="573">
        <v>0</v>
      </c>
      <c r="H11" s="575">
        <f t="shared" si="0"/>
        <v>5571120.3324015839</v>
      </c>
    </row>
    <row r="12" spans="1:8" x14ac:dyDescent="0.25">
      <c r="A12" s="574">
        <v>6</v>
      </c>
      <c r="B12" s="592" t="s">
        <v>634</v>
      </c>
      <c r="C12" s="572">
        <v>2627950.7095171427</v>
      </c>
      <c r="D12" s="572">
        <v>5039379.1347814901</v>
      </c>
      <c r="E12" s="572">
        <v>769531.77798252145</v>
      </c>
      <c r="F12" s="572"/>
      <c r="G12" s="573">
        <v>0</v>
      </c>
      <c r="H12" s="575">
        <f t="shared" si="0"/>
        <v>6897798.066316111</v>
      </c>
    </row>
    <row r="13" spans="1:8" x14ac:dyDescent="0.25">
      <c r="A13" s="574">
        <v>7</v>
      </c>
      <c r="B13" s="592" t="s">
        <v>636</v>
      </c>
      <c r="C13" s="572">
        <v>77472.760104091183</v>
      </c>
      <c r="D13" s="572">
        <v>1267550.9518477852</v>
      </c>
      <c r="E13" s="572">
        <v>91095.242390643223</v>
      </c>
      <c r="F13" s="572"/>
      <c r="G13" s="573">
        <v>0</v>
      </c>
      <c r="H13" s="575">
        <f t="shared" si="0"/>
        <v>1253928.4695612332</v>
      </c>
    </row>
    <row r="14" spans="1:8" x14ac:dyDescent="0.25">
      <c r="A14" s="574">
        <v>8</v>
      </c>
      <c r="B14" s="592" t="s">
        <v>637</v>
      </c>
      <c r="C14" s="572">
        <v>78331.218792454965</v>
      </c>
      <c r="D14" s="572">
        <v>3140921.4453309057</v>
      </c>
      <c r="E14" s="572">
        <v>117592.28441545856</v>
      </c>
      <c r="F14" s="572"/>
      <c r="G14" s="573">
        <v>0</v>
      </c>
      <c r="H14" s="575">
        <f t="shared" si="0"/>
        <v>3101660.3797079017</v>
      </c>
    </row>
    <row r="15" spans="1:8" x14ac:dyDescent="0.25">
      <c r="A15" s="574">
        <v>9</v>
      </c>
      <c r="B15" s="592" t="s">
        <v>638</v>
      </c>
      <c r="C15" s="572">
        <v>5406.8220547945211</v>
      </c>
      <c r="D15" s="572">
        <v>1009044.944943954</v>
      </c>
      <c r="E15" s="572">
        <v>28168.637865967794</v>
      </c>
      <c r="F15" s="572"/>
      <c r="G15" s="573">
        <v>0</v>
      </c>
      <c r="H15" s="575">
        <f t="shared" si="0"/>
        <v>986283.12913278071</v>
      </c>
    </row>
    <row r="16" spans="1:8" x14ac:dyDescent="0.25">
      <c r="A16" s="574">
        <v>10</v>
      </c>
      <c r="B16" s="592" t="s">
        <v>639</v>
      </c>
      <c r="C16" s="572">
        <v>12006.705648557236</v>
      </c>
      <c r="D16" s="572">
        <v>633915.93062031816</v>
      </c>
      <c r="E16" s="572">
        <v>19397.134438677123</v>
      </c>
      <c r="F16" s="572"/>
      <c r="G16" s="573">
        <v>0</v>
      </c>
      <c r="H16" s="575">
        <f t="shared" si="0"/>
        <v>626525.50183019834</v>
      </c>
    </row>
    <row r="17" spans="1:8" x14ac:dyDescent="0.25">
      <c r="A17" s="574">
        <v>11</v>
      </c>
      <c r="B17" s="592" t="s">
        <v>640</v>
      </c>
      <c r="C17" s="572">
        <v>34954.915844548908</v>
      </c>
      <c r="D17" s="572">
        <v>1765590.5230366029</v>
      </c>
      <c r="E17" s="572">
        <v>72206.906045093841</v>
      </c>
      <c r="F17" s="572"/>
      <c r="G17" s="573">
        <v>0</v>
      </c>
      <c r="H17" s="575">
        <f t="shared" si="0"/>
        <v>1728338.5328360579</v>
      </c>
    </row>
    <row r="18" spans="1:8" x14ac:dyDescent="0.25">
      <c r="A18" s="574">
        <v>12</v>
      </c>
      <c r="B18" s="592" t="s">
        <v>641</v>
      </c>
      <c r="C18" s="572">
        <v>1744651.1720462432</v>
      </c>
      <c r="D18" s="572">
        <v>12755720.15359121</v>
      </c>
      <c r="E18" s="572">
        <v>494808.31939083082</v>
      </c>
      <c r="F18" s="572"/>
      <c r="G18" s="573">
        <v>0</v>
      </c>
      <c r="H18" s="575">
        <f t="shared" si="0"/>
        <v>14005563.006246621</v>
      </c>
    </row>
    <row r="19" spans="1:8" x14ac:dyDescent="0.25">
      <c r="A19" s="574">
        <v>13</v>
      </c>
      <c r="B19" s="592" t="s">
        <v>642</v>
      </c>
      <c r="C19" s="572">
        <v>115109.39507031154</v>
      </c>
      <c r="D19" s="572">
        <v>2174404.6431228253</v>
      </c>
      <c r="E19" s="572">
        <v>140912.83079090682</v>
      </c>
      <c r="F19" s="572"/>
      <c r="G19" s="573">
        <v>0</v>
      </c>
      <c r="H19" s="575">
        <f t="shared" si="0"/>
        <v>2148601.2074022302</v>
      </c>
    </row>
    <row r="20" spans="1:8" x14ac:dyDescent="0.25">
      <c r="A20" s="574">
        <v>14</v>
      </c>
      <c r="B20" s="592" t="s">
        <v>643</v>
      </c>
      <c r="C20" s="572">
        <v>134776.44190725274</v>
      </c>
      <c r="D20" s="572">
        <v>7057777.0300116297</v>
      </c>
      <c r="E20" s="572">
        <v>229548.84935569772</v>
      </c>
      <c r="F20" s="572"/>
      <c r="G20" s="573">
        <v>0</v>
      </c>
      <c r="H20" s="575">
        <f t="shared" si="0"/>
        <v>6963004.6225631852</v>
      </c>
    </row>
    <row r="21" spans="1:8" x14ac:dyDescent="0.25">
      <c r="A21" s="574">
        <v>15</v>
      </c>
      <c r="B21" s="592" t="s">
        <v>644</v>
      </c>
      <c r="C21" s="572">
        <v>268965.30641583644</v>
      </c>
      <c r="D21" s="572">
        <v>4170625.9121776819</v>
      </c>
      <c r="E21" s="572">
        <v>331420.30140983639</v>
      </c>
      <c r="F21" s="572"/>
      <c r="G21" s="573">
        <v>0</v>
      </c>
      <c r="H21" s="575">
        <f t="shared" si="0"/>
        <v>4108170.9171836819</v>
      </c>
    </row>
    <row r="22" spans="1:8" x14ac:dyDescent="0.25">
      <c r="A22" s="574">
        <v>16</v>
      </c>
      <c r="B22" s="592" t="s">
        <v>645</v>
      </c>
      <c r="C22" s="572">
        <v>2686.1067213114752</v>
      </c>
      <c r="D22" s="572">
        <v>2015400.8939432134</v>
      </c>
      <c r="E22" s="572">
        <v>35731.685161005946</v>
      </c>
      <c r="F22" s="572"/>
      <c r="G22" s="573">
        <v>0</v>
      </c>
      <c r="H22" s="575">
        <f t="shared" si="0"/>
        <v>1982355.315503519</v>
      </c>
    </row>
    <row r="23" spans="1:8" x14ac:dyDescent="0.25">
      <c r="A23" s="574">
        <v>17</v>
      </c>
      <c r="B23" s="592" t="s">
        <v>646</v>
      </c>
      <c r="C23" s="572">
        <v>7497.8033507191058</v>
      </c>
      <c r="D23" s="572">
        <v>388367.80922833376</v>
      </c>
      <c r="E23" s="572">
        <v>13147.306711026848</v>
      </c>
      <c r="F23" s="572"/>
      <c r="G23" s="573">
        <v>0</v>
      </c>
      <c r="H23" s="575">
        <f t="shared" si="0"/>
        <v>382718.30586802599</v>
      </c>
    </row>
    <row r="24" spans="1:8" x14ac:dyDescent="0.25">
      <c r="A24" s="574">
        <v>18</v>
      </c>
      <c r="B24" s="592" t="s">
        <v>647</v>
      </c>
      <c r="C24" s="572">
        <v>72020.442122817913</v>
      </c>
      <c r="D24" s="572">
        <v>885089.83705998713</v>
      </c>
      <c r="E24" s="572">
        <v>103237.32114802442</v>
      </c>
      <c r="F24" s="572"/>
      <c r="G24" s="573">
        <v>0</v>
      </c>
      <c r="H24" s="575">
        <f t="shared" si="0"/>
        <v>853872.95803478057</v>
      </c>
    </row>
    <row r="25" spans="1:8" x14ac:dyDescent="0.25">
      <c r="A25" s="574">
        <v>19</v>
      </c>
      <c r="B25" s="592" t="s">
        <v>648</v>
      </c>
      <c r="C25" s="572">
        <v>29839.892112970618</v>
      </c>
      <c r="D25" s="572">
        <v>1198899.9509527411</v>
      </c>
      <c r="E25" s="572">
        <v>55652.410072475308</v>
      </c>
      <c r="F25" s="572"/>
      <c r="G25" s="573">
        <v>0</v>
      </c>
      <c r="H25" s="575">
        <f t="shared" si="0"/>
        <v>1173087.4329932365</v>
      </c>
    </row>
    <row r="26" spans="1:8" x14ac:dyDescent="0.25">
      <c r="A26" s="574">
        <v>20</v>
      </c>
      <c r="B26" s="592" t="s">
        <v>649</v>
      </c>
      <c r="C26" s="572">
        <v>22473.124479585556</v>
      </c>
      <c r="D26" s="572">
        <v>3259797.8716822304</v>
      </c>
      <c r="E26" s="572">
        <v>61573.07469685479</v>
      </c>
      <c r="F26" s="572"/>
      <c r="G26" s="573">
        <v>0</v>
      </c>
      <c r="H26" s="575">
        <f t="shared" si="0"/>
        <v>3220697.921464961</v>
      </c>
    </row>
    <row r="27" spans="1:8" x14ac:dyDescent="0.25">
      <c r="A27" s="574">
        <v>21</v>
      </c>
      <c r="B27" s="592" t="s">
        <v>650</v>
      </c>
      <c r="C27" s="572">
        <v>3264.9924087591235</v>
      </c>
      <c r="D27" s="572">
        <v>822197.74391909596</v>
      </c>
      <c r="E27" s="572">
        <v>26019.303336178502</v>
      </c>
      <c r="F27" s="572"/>
      <c r="G27" s="573">
        <v>0</v>
      </c>
      <c r="H27" s="575">
        <f t="shared" si="0"/>
        <v>799443.4329916765</v>
      </c>
    </row>
    <row r="28" spans="1:8" x14ac:dyDescent="0.25">
      <c r="A28" s="574">
        <v>22</v>
      </c>
      <c r="B28" s="592" t="s">
        <v>651</v>
      </c>
      <c r="C28" s="572">
        <v>34235.191550804804</v>
      </c>
      <c r="D28" s="572">
        <v>2659151.9794075461</v>
      </c>
      <c r="E28" s="572">
        <v>77777.171523708399</v>
      </c>
      <c r="F28" s="572"/>
      <c r="G28" s="573">
        <v>0</v>
      </c>
      <c r="H28" s="575">
        <f t="shared" si="0"/>
        <v>2615609.9994346425</v>
      </c>
    </row>
    <row r="29" spans="1:8" x14ac:dyDescent="0.25">
      <c r="A29" s="574">
        <v>23</v>
      </c>
      <c r="B29" s="592" t="s">
        <v>652</v>
      </c>
      <c r="C29" s="572">
        <v>789628.1994607395</v>
      </c>
      <c r="D29" s="572">
        <v>30086505.665946942</v>
      </c>
      <c r="E29" s="572">
        <v>1430373.1097506026</v>
      </c>
      <c r="F29" s="572"/>
      <c r="G29" s="573">
        <v>6503.35</v>
      </c>
      <c r="H29" s="575">
        <f t="shared" si="0"/>
        <v>29445760.755657081</v>
      </c>
    </row>
    <row r="30" spans="1:8" x14ac:dyDescent="0.25">
      <c r="A30" s="574">
        <v>24</v>
      </c>
      <c r="B30" s="592" t="s">
        <v>653</v>
      </c>
      <c r="C30" s="572">
        <v>109340.85753022954</v>
      </c>
      <c r="D30" s="572">
        <v>2394684.3890874083</v>
      </c>
      <c r="E30" s="572">
        <v>175682.28724663644</v>
      </c>
      <c r="F30" s="572"/>
      <c r="G30" s="573">
        <v>0</v>
      </c>
      <c r="H30" s="575">
        <f t="shared" si="0"/>
        <v>2328342.9593710015</v>
      </c>
    </row>
    <row r="31" spans="1:8" x14ac:dyDescent="0.25">
      <c r="A31" s="574">
        <v>25</v>
      </c>
      <c r="B31" s="592" t="s">
        <v>217</v>
      </c>
      <c r="C31" s="572">
        <v>1019543.3773880471</v>
      </c>
      <c r="D31" s="573">
        <v>24329928.198429663</v>
      </c>
      <c r="E31" s="572">
        <v>1395840.4134374333</v>
      </c>
      <c r="F31" s="572"/>
      <c r="G31" s="573">
        <v>0</v>
      </c>
      <c r="H31" s="575">
        <f t="shared" si="0"/>
        <v>23953631.162380278</v>
      </c>
    </row>
    <row r="32" spans="1:8" x14ac:dyDescent="0.25">
      <c r="A32" s="574">
        <v>26</v>
      </c>
      <c r="B32" s="592" t="s">
        <v>654</v>
      </c>
      <c r="C32" s="572">
        <v>0</v>
      </c>
      <c r="D32" s="572">
        <v>0</v>
      </c>
      <c r="E32" s="572">
        <v>0</v>
      </c>
      <c r="F32" s="572"/>
      <c r="G32" s="573">
        <v>0</v>
      </c>
      <c r="H32" s="575">
        <f t="shared" si="0"/>
        <v>0</v>
      </c>
    </row>
    <row r="33" spans="1:8" x14ac:dyDescent="0.25">
      <c r="A33" s="574">
        <v>27</v>
      </c>
      <c r="B33" s="574" t="s">
        <v>122</v>
      </c>
      <c r="C33" s="572">
        <f>'18. Assets by Exposure classes'!C20</f>
        <v>0</v>
      </c>
      <c r="D33" s="572">
        <f>'18. Assets by Exposure classes'!D20</f>
        <v>26689581.888853192</v>
      </c>
      <c r="E33" s="572">
        <f>'18. Assets by Exposure classes'!E20</f>
        <v>0</v>
      </c>
      <c r="F33" s="574"/>
      <c r="G33" s="573">
        <v>0</v>
      </c>
      <c r="H33" s="575">
        <f t="shared" si="0"/>
        <v>26689581.888853192</v>
      </c>
    </row>
    <row r="34" spans="1:8" x14ac:dyDescent="0.25">
      <c r="A34" s="574">
        <v>28</v>
      </c>
      <c r="B34" s="582" t="s">
        <v>96</v>
      </c>
      <c r="C34" s="582">
        <f>SUM(C7:C33)</f>
        <v>8637538.6604913697</v>
      </c>
      <c r="D34" s="582">
        <f>SUM(D7:D33)</f>
        <v>212508684.78477466</v>
      </c>
      <c r="E34" s="582">
        <f>SUM(E7:E33)</f>
        <v>6879025.6866340777</v>
      </c>
      <c r="F34" s="582">
        <f>SUM(F7:F33)</f>
        <v>0</v>
      </c>
      <c r="G34" s="582">
        <f>SUM(G7:G33)</f>
        <v>20248.93</v>
      </c>
      <c r="H34" s="575">
        <f t="shared" si="0"/>
        <v>214267197.75863197</v>
      </c>
    </row>
  </sheetData>
  <mergeCells count="5">
    <mergeCell ref="A5:B6"/>
    <mergeCell ref="C5:D5"/>
    <mergeCell ref="E5:E6"/>
    <mergeCell ref="F5:F6"/>
    <mergeCell ref="G5:G6"/>
  </mergeCells>
  <conditionalFormatting sqref="A5">
    <cfRule type="duplicateValues" dxfId="20" priority="1"/>
    <cfRule type="duplicateValues" dxfId="19" priority="2"/>
    <cfRule type="duplicateValues" dxfId="18"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FF3C9-C7A1-43D5-8A96-CC9F5404F98C}">
  <sheetPr>
    <tabColor theme="2" tint="-9.9978637043366805E-2"/>
  </sheetPr>
  <dimension ref="A1:E16"/>
  <sheetViews>
    <sheetView showGridLines="0" topLeftCell="C2" zoomScale="115" zoomScaleNormal="115" workbookViewId="0">
      <selection activeCell="C6" sqref="C6:D15"/>
    </sheetView>
  </sheetViews>
  <sheetFormatPr defaultColWidth="9.33203125" defaultRowHeight="12" x14ac:dyDescent="0.25"/>
  <cols>
    <col min="1" max="1" width="11.6640625" style="548" bestFit="1" customWidth="1"/>
    <col min="2" max="2" width="108" style="548" bestFit="1" customWidth="1"/>
    <col min="3" max="3" width="35.5546875" style="548" customWidth="1"/>
    <col min="4" max="4" width="38.44140625" style="548" customWidth="1"/>
    <col min="5" max="16384" width="9.33203125" style="548"/>
  </cols>
  <sheetData>
    <row r="1" spans="1:5" ht="13.8" x14ac:dyDescent="0.3">
      <c r="A1" s="547" t="s">
        <v>44</v>
      </c>
      <c r="B1" s="20" t="str">
        <f>Info!C2</f>
        <v>სს სილქ ბანკი</v>
      </c>
    </row>
    <row r="2" spans="1:5" x14ac:dyDescent="0.25">
      <c r="A2" s="547" t="s">
        <v>45</v>
      </c>
      <c r="B2" s="590">
        <f>'1. key ratios'!B2</f>
        <v>46112</v>
      </c>
    </row>
    <row r="3" spans="1:5" x14ac:dyDescent="0.25">
      <c r="A3" s="550" t="s">
        <v>655</v>
      </c>
    </row>
    <row r="5" spans="1:5" x14ac:dyDescent="0.25">
      <c r="A5" s="874" t="s">
        <v>656</v>
      </c>
      <c r="B5" s="874"/>
      <c r="C5" s="551" t="s">
        <v>657</v>
      </c>
      <c r="D5" s="551" t="s">
        <v>658</v>
      </c>
    </row>
    <row r="6" spans="1:5" x14ac:dyDescent="0.25">
      <c r="A6" s="593">
        <v>1</v>
      </c>
      <c r="B6" s="594" t="s">
        <v>659</v>
      </c>
      <c r="C6" s="595">
        <v>6044188.4225425329</v>
      </c>
      <c r="D6" s="595">
        <v>52374.008589452984</v>
      </c>
    </row>
    <row r="7" spans="1:5" x14ac:dyDescent="0.25">
      <c r="A7" s="596">
        <v>2</v>
      </c>
      <c r="B7" s="594" t="s">
        <v>660</v>
      </c>
      <c r="C7" s="554">
        <f>SUM(C8:C9)</f>
        <v>2325091.104096395</v>
      </c>
      <c r="D7" s="555">
        <v>0</v>
      </c>
      <c r="E7" s="557"/>
    </row>
    <row r="8" spans="1:5" x14ac:dyDescent="0.25">
      <c r="A8" s="597">
        <v>2.1</v>
      </c>
      <c r="B8" s="598" t="s">
        <v>661</v>
      </c>
      <c r="C8" s="554">
        <v>738778.667583548</v>
      </c>
      <c r="D8" s="554"/>
      <c r="E8" s="557"/>
    </row>
    <row r="9" spans="1:5" x14ac:dyDescent="0.25">
      <c r="A9" s="597">
        <v>2.2000000000000002</v>
      </c>
      <c r="B9" s="598" t="s">
        <v>662</v>
      </c>
      <c r="C9" s="554">
        <v>1586312.436512847</v>
      </c>
      <c r="D9" s="554"/>
      <c r="E9" s="557"/>
    </row>
    <row r="10" spans="1:5" x14ac:dyDescent="0.25">
      <c r="A10" s="593">
        <v>3</v>
      </c>
      <c r="B10" s="594" t="s">
        <v>663</v>
      </c>
      <c r="C10" s="554">
        <f>SUM(C11:C13)</f>
        <v>1589185.1213166341</v>
      </c>
      <c r="D10" s="595">
        <v>998</v>
      </c>
      <c r="E10" s="557"/>
    </row>
    <row r="11" spans="1:5" x14ac:dyDescent="0.25">
      <c r="A11" s="597">
        <v>3.1</v>
      </c>
      <c r="B11" s="598" t="s">
        <v>664</v>
      </c>
      <c r="C11" s="554">
        <v>17712.150000000001</v>
      </c>
      <c r="D11" s="555"/>
      <c r="E11" s="557"/>
    </row>
    <row r="12" spans="1:5" x14ac:dyDescent="0.25">
      <c r="A12" s="597">
        <v>3.2</v>
      </c>
      <c r="B12" s="598" t="s">
        <v>665</v>
      </c>
      <c r="C12" s="554">
        <v>916175.57663916703</v>
      </c>
      <c r="D12" s="555"/>
      <c r="E12" s="557"/>
    </row>
    <row r="13" spans="1:5" x14ac:dyDescent="0.25">
      <c r="A13" s="597">
        <v>3.3</v>
      </c>
      <c r="B13" s="598" t="s">
        <v>666</v>
      </c>
      <c r="C13" s="554">
        <v>655297.39467746718</v>
      </c>
      <c r="D13" s="555"/>
      <c r="E13" s="557"/>
    </row>
    <row r="14" spans="1:5" x14ac:dyDescent="0.25">
      <c r="A14" s="596">
        <v>4</v>
      </c>
      <c r="B14" s="599" t="s">
        <v>667</v>
      </c>
      <c r="C14" s="554">
        <v>47555</v>
      </c>
      <c r="D14" s="555"/>
      <c r="E14" s="600"/>
    </row>
    <row r="15" spans="1:5" x14ac:dyDescent="0.25">
      <c r="A15" s="601">
        <v>5</v>
      </c>
      <c r="B15" s="594" t="s">
        <v>668</v>
      </c>
      <c r="C15" s="760">
        <f>C6+C7-C10+C14</f>
        <v>6827649.4053222938</v>
      </c>
      <c r="D15" s="595">
        <v>51376.008589452984</v>
      </c>
      <c r="E15" s="602"/>
    </row>
    <row r="16" spans="1:5" x14ac:dyDescent="0.25">
      <c r="C16" s="761"/>
      <c r="D16" s="761"/>
    </row>
  </sheetData>
  <mergeCells count="1">
    <mergeCell ref="A5:B5"/>
  </mergeCells>
  <pageMargins left="0.7" right="0.7" top="0.75" bottom="0.75" header="0.3" footer="0.3"/>
  <pageSetup orientation="portrait" horizontalDpi="4294967292"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81CF-8D46-4B66-BD85-741ABAFB5FDC}">
  <sheetPr>
    <tabColor theme="2" tint="-9.9978637043366805E-2"/>
  </sheetPr>
  <dimension ref="A1:D18"/>
  <sheetViews>
    <sheetView showGridLines="0" zoomScaleNormal="100" workbookViewId="0">
      <selection activeCell="C7" sqref="C7:D18"/>
    </sheetView>
  </sheetViews>
  <sheetFormatPr defaultColWidth="9.33203125" defaultRowHeight="12" x14ac:dyDescent="0.25"/>
  <cols>
    <col min="1" max="1" width="6.44140625" style="565" customWidth="1"/>
    <col min="2" max="2" width="128.88671875" style="565" bestFit="1" customWidth="1"/>
    <col min="3" max="3" width="37" style="565" customWidth="1"/>
    <col min="4" max="4" width="50.5546875" style="565" customWidth="1"/>
    <col min="5" max="16384" width="9.33203125" style="565"/>
  </cols>
  <sheetData>
    <row r="1" spans="1:4" ht="13.8" x14ac:dyDescent="0.3">
      <c r="A1" s="547" t="s">
        <v>44</v>
      </c>
      <c r="B1" s="20" t="str">
        <f>Info!C2</f>
        <v>სს სილქ ბანკი</v>
      </c>
    </row>
    <row r="2" spans="1:4" x14ac:dyDescent="0.25">
      <c r="A2" s="547" t="s">
        <v>45</v>
      </c>
      <c r="B2" s="590">
        <f>'1. key ratios'!B2</f>
        <v>46112</v>
      </c>
    </row>
    <row r="3" spans="1:4" x14ac:dyDescent="0.25">
      <c r="A3" s="550" t="s">
        <v>669</v>
      </c>
    </row>
    <row r="4" spans="1:4" x14ac:dyDescent="0.25">
      <c r="A4" s="550"/>
    </row>
    <row r="5" spans="1:4" ht="15" customHeight="1" x14ac:dyDescent="0.25">
      <c r="A5" s="875" t="s">
        <v>38</v>
      </c>
      <c r="B5" s="876"/>
      <c r="C5" s="879" t="s">
        <v>670</v>
      </c>
      <c r="D5" s="879" t="s">
        <v>671</v>
      </c>
    </row>
    <row r="6" spans="1:4" x14ac:dyDescent="0.25">
      <c r="A6" s="877"/>
      <c r="B6" s="878"/>
      <c r="C6" s="879"/>
      <c r="D6" s="879"/>
    </row>
    <row r="7" spans="1:4" x14ac:dyDescent="0.25">
      <c r="A7" s="582">
        <v>1</v>
      </c>
      <c r="B7" s="582" t="s">
        <v>672</v>
      </c>
      <c r="C7" s="573">
        <v>5644258.8851904999</v>
      </c>
      <c r="D7" s="604"/>
    </row>
    <row r="8" spans="1:4" x14ac:dyDescent="0.25">
      <c r="A8" s="574">
        <v>2</v>
      </c>
      <c r="B8" s="574" t="s">
        <v>673</v>
      </c>
      <c r="C8" s="572">
        <v>3785364.61</v>
      </c>
      <c r="D8" s="604"/>
    </row>
    <row r="9" spans="1:4" x14ac:dyDescent="0.25">
      <c r="A9" s="574">
        <v>3</v>
      </c>
      <c r="B9" s="605" t="s">
        <v>674</v>
      </c>
      <c r="C9" s="572">
        <v>0</v>
      </c>
      <c r="D9" s="604"/>
    </row>
    <row r="10" spans="1:4" x14ac:dyDescent="0.25">
      <c r="A10" s="574">
        <v>4</v>
      </c>
      <c r="B10" s="574" t="s">
        <v>675</v>
      </c>
      <c r="C10" s="572">
        <f>SUM(C11:C17)</f>
        <v>796777.83788527839</v>
      </c>
      <c r="D10" s="604"/>
    </row>
    <row r="11" spans="1:4" x14ac:dyDescent="0.25">
      <c r="A11" s="574">
        <v>5</v>
      </c>
      <c r="B11" s="606" t="s">
        <v>676</v>
      </c>
      <c r="C11" s="573">
        <v>95104.513207811178</v>
      </c>
      <c r="D11" s="604"/>
    </row>
    <row r="12" spans="1:4" x14ac:dyDescent="0.25">
      <c r="A12" s="574">
        <v>6</v>
      </c>
      <c r="B12" s="606" t="s">
        <v>677</v>
      </c>
      <c r="C12" s="573">
        <v>655297.39467746718</v>
      </c>
      <c r="D12" s="604"/>
    </row>
    <row r="13" spans="1:4" x14ac:dyDescent="0.25">
      <c r="A13" s="574">
        <v>7</v>
      </c>
      <c r="B13" s="606" t="s">
        <v>678</v>
      </c>
      <c r="C13" s="573">
        <f>'19. Assets by Risk Sectors'!G34</f>
        <v>20248.93</v>
      </c>
      <c r="D13" s="604"/>
    </row>
    <row r="14" spans="1:4" x14ac:dyDescent="0.25">
      <c r="A14" s="574">
        <v>8</v>
      </c>
      <c r="B14" s="606" t="s">
        <v>679</v>
      </c>
      <c r="C14" s="573"/>
      <c r="D14" s="574"/>
    </row>
    <row r="15" spans="1:4" x14ac:dyDescent="0.25">
      <c r="A15" s="574">
        <v>9</v>
      </c>
      <c r="B15" s="606" t="s">
        <v>680</v>
      </c>
      <c r="C15" s="573"/>
      <c r="D15" s="574"/>
    </row>
    <row r="16" spans="1:4" x14ac:dyDescent="0.25">
      <c r="A16" s="574">
        <v>10</v>
      </c>
      <c r="B16" s="606" t="s">
        <v>681</v>
      </c>
      <c r="C16" s="573"/>
      <c r="D16" s="574"/>
    </row>
    <row r="17" spans="1:4" x14ac:dyDescent="0.25">
      <c r="A17" s="574">
        <v>11</v>
      </c>
      <c r="B17" s="606" t="s">
        <v>682</v>
      </c>
      <c r="C17" s="573">
        <v>26127</v>
      </c>
      <c r="D17" s="604"/>
    </row>
    <row r="18" spans="1:4" x14ac:dyDescent="0.25">
      <c r="A18" s="582">
        <v>12</v>
      </c>
      <c r="B18" s="607" t="s">
        <v>683</v>
      </c>
      <c r="C18" s="762">
        <f>SUM(C7:C9,-C10)</f>
        <v>8632845.6573052201</v>
      </c>
      <c r="D18" s="604"/>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833F-B9B9-45CD-9695-D7EC644086A7}">
  <sheetPr>
    <tabColor theme="2" tint="-9.9978637043366805E-2"/>
  </sheetPr>
  <dimension ref="A1:AB28"/>
  <sheetViews>
    <sheetView showGridLines="0" zoomScale="85" zoomScaleNormal="85" workbookViewId="0">
      <selection activeCell="C8" sqref="C8:AA28"/>
    </sheetView>
  </sheetViews>
  <sheetFormatPr defaultColWidth="9.33203125" defaultRowHeight="12" x14ac:dyDescent="0.25"/>
  <cols>
    <col min="1" max="1" width="11.6640625" style="565" bestFit="1" customWidth="1"/>
    <col min="2" max="2" width="63.88671875" style="565" customWidth="1"/>
    <col min="3" max="3" width="15.5546875" style="565" customWidth="1"/>
    <col min="4" max="18" width="22.33203125" style="565" customWidth="1"/>
    <col min="19" max="19" width="23.33203125" style="565" bestFit="1" customWidth="1"/>
    <col min="20" max="26" width="22.33203125" style="565" customWidth="1"/>
    <col min="27" max="27" width="23.33203125" style="565" bestFit="1" customWidth="1"/>
    <col min="28" max="28" width="20" style="565" customWidth="1"/>
    <col min="29" max="16384" width="9.33203125" style="565"/>
  </cols>
  <sheetData>
    <row r="1" spans="1:28" ht="13.8" x14ac:dyDescent="0.3">
      <c r="A1" s="547" t="s">
        <v>44</v>
      </c>
      <c r="B1" s="20" t="str">
        <f>Info!C2</f>
        <v>სს სილქ ბანკი</v>
      </c>
    </row>
    <row r="2" spans="1:28" x14ac:dyDescent="0.25">
      <c r="A2" s="547" t="s">
        <v>45</v>
      </c>
      <c r="B2" s="590">
        <f>'1. key ratios'!B2</f>
        <v>46112</v>
      </c>
      <c r="C2" s="566"/>
    </row>
    <row r="3" spans="1:28" x14ac:dyDescent="0.25">
      <c r="A3" s="550" t="s">
        <v>684</v>
      </c>
      <c r="E3" s="608"/>
      <c r="F3" s="609"/>
    </row>
    <row r="4" spans="1:28" x14ac:dyDescent="0.25">
      <c r="C4" s="610">
        <v>0</v>
      </c>
      <c r="D4" s="610"/>
      <c r="E4" s="611"/>
      <c r="F4" s="610"/>
      <c r="H4" s="610"/>
      <c r="L4" s="610"/>
    </row>
    <row r="5" spans="1:28" ht="15" customHeight="1" x14ac:dyDescent="0.25">
      <c r="A5" s="880" t="s">
        <v>685</v>
      </c>
      <c r="B5" s="881"/>
      <c r="C5" s="872" t="s">
        <v>686</v>
      </c>
      <c r="D5" s="886"/>
      <c r="E5" s="886"/>
      <c r="F5" s="886"/>
      <c r="G5" s="886"/>
      <c r="H5" s="886"/>
      <c r="I5" s="886"/>
      <c r="J5" s="886"/>
      <c r="K5" s="886"/>
      <c r="L5" s="886"/>
      <c r="M5" s="886"/>
      <c r="N5" s="886"/>
      <c r="O5" s="886"/>
      <c r="P5" s="886"/>
      <c r="Q5" s="886"/>
      <c r="R5" s="886"/>
      <c r="S5" s="886"/>
      <c r="T5" s="612"/>
      <c r="U5" s="612"/>
      <c r="V5" s="612"/>
      <c r="W5" s="612"/>
      <c r="X5" s="612"/>
      <c r="Y5" s="612"/>
      <c r="Z5" s="612"/>
      <c r="AA5" s="591"/>
      <c r="AB5" s="608"/>
    </row>
    <row r="6" spans="1:28" x14ac:dyDescent="0.25">
      <c r="A6" s="882"/>
      <c r="B6" s="883"/>
      <c r="C6" s="887" t="s">
        <v>96</v>
      </c>
      <c r="D6" s="889" t="s">
        <v>687</v>
      </c>
      <c r="E6" s="889"/>
      <c r="F6" s="889"/>
      <c r="G6" s="889"/>
      <c r="H6" s="890" t="s">
        <v>688</v>
      </c>
      <c r="I6" s="891"/>
      <c r="J6" s="891"/>
      <c r="K6" s="892"/>
      <c r="L6" s="614"/>
      <c r="M6" s="893" t="s">
        <v>689</v>
      </c>
      <c r="N6" s="893"/>
      <c r="O6" s="893"/>
      <c r="P6" s="893"/>
      <c r="Q6" s="893"/>
      <c r="R6" s="893"/>
      <c r="S6" s="871"/>
      <c r="T6" s="613"/>
      <c r="U6" s="873" t="s">
        <v>690</v>
      </c>
      <c r="V6" s="873"/>
      <c r="W6" s="873"/>
      <c r="X6" s="873"/>
      <c r="Y6" s="873"/>
      <c r="Z6" s="873"/>
      <c r="AA6" s="869"/>
      <c r="AB6" s="614"/>
    </row>
    <row r="7" spans="1:28" ht="24" x14ac:dyDescent="0.25">
      <c r="A7" s="884"/>
      <c r="B7" s="885"/>
      <c r="C7" s="888"/>
      <c r="D7" s="616"/>
      <c r="E7" s="568" t="s">
        <v>691</v>
      </c>
      <c r="F7" s="568" t="s">
        <v>692</v>
      </c>
      <c r="G7" s="568" t="s">
        <v>693</v>
      </c>
      <c r="H7" s="617"/>
      <c r="I7" s="568" t="s">
        <v>691</v>
      </c>
      <c r="J7" s="568" t="s">
        <v>692</v>
      </c>
      <c r="K7" s="568" t="s">
        <v>693</v>
      </c>
      <c r="L7" s="615"/>
      <c r="M7" s="568" t="s">
        <v>691</v>
      </c>
      <c r="N7" s="568" t="s">
        <v>692</v>
      </c>
      <c r="O7" s="568" t="s">
        <v>694</v>
      </c>
      <c r="P7" s="568" t="s">
        <v>695</v>
      </c>
      <c r="Q7" s="568" t="s">
        <v>696</v>
      </c>
      <c r="R7" s="568" t="s">
        <v>697</v>
      </c>
      <c r="S7" s="568" t="s">
        <v>698</v>
      </c>
      <c r="T7" s="570"/>
      <c r="U7" s="568" t="s">
        <v>691</v>
      </c>
      <c r="V7" s="568" t="s">
        <v>692</v>
      </c>
      <c r="W7" s="568" t="s">
        <v>694</v>
      </c>
      <c r="X7" s="568" t="s">
        <v>695</v>
      </c>
      <c r="Y7" s="568" t="s">
        <v>696</v>
      </c>
      <c r="Z7" s="568" t="s">
        <v>697</v>
      </c>
      <c r="AA7" s="568" t="s">
        <v>698</v>
      </c>
      <c r="AB7" s="608"/>
    </row>
    <row r="8" spans="1:28" x14ac:dyDescent="0.25">
      <c r="A8" s="618">
        <v>1</v>
      </c>
      <c r="B8" s="582" t="s">
        <v>657</v>
      </c>
      <c r="C8" s="619">
        <f t="shared" ref="C8:C14" si="0">D8+H8+L8</f>
        <v>140382297.73641205</v>
      </c>
      <c r="D8" s="572">
        <f t="shared" ref="D8:AA8" si="1">D13+D14</f>
        <v>124004307.72991201</v>
      </c>
      <c r="E8" s="572">
        <f t="shared" si="1"/>
        <v>3852071.587289406</v>
      </c>
      <c r="F8" s="572">
        <f t="shared" si="1"/>
        <v>0</v>
      </c>
      <c r="G8" s="572">
        <f t="shared" si="1"/>
        <v>0</v>
      </c>
      <c r="H8" s="572">
        <f t="shared" si="1"/>
        <v>7745144.3460086733</v>
      </c>
      <c r="I8" s="572">
        <f t="shared" si="1"/>
        <v>464662.16208869137</v>
      </c>
      <c r="J8" s="572">
        <f t="shared" si="1"/>
        <v>2852386.3180286717</v>
      </c>
      <c r="K8" s="572">
        <f t="shared" si="1"/>
        <v>0</v>
      </c>
      <c r="L8" s="572">
        <f t="shared" si="1"/>
        <v>8632845.6604913641</v>
      </c>
      <c r="M8" s="572">
        <f t="shared" si="1"/>
        <v>109768.47910767536</v>
      </c>
      <c r="N8" s="572">
        <f t="shared" si="1"/>
        <v>2586533.8300427408</v>
      </c>
      <c r="O8" s="572">
        <f t="shared" si="1"/>
        <v>2995472.5086738793</v>
      </c>
      <c r="P8" s="572">
        <f t="shared" si="1"/>
        <v>1444812.4034783819</v>
      </c>
      <c r="Q8" s="572">
        <f t="shared" si="1"/>
        <v>1154051.6887261674</v>
      </c>
      <c r="R8" s="572">
        <f t="shared" si="1"/>
        <v>0</v>
      </c>
      <c r="S8" s="572">
        <f t="shared" si="1"/>
        <v>0</v>
      </c>
      <c r="T8" s="572">
        <f t="shared" si="1"/>
        <v>0</v>
      </c>
      <c r="U8" s="572">
        <f t="shared" si="1"/>
        <v>0</v>
      </c>
      <c r="V8" s="572">
        <f t="shared" si="1"/>
        <v>0</v>
      </c>
      <c r="W8" s="572">
        <f t="shared" si="1"/>
        <v>0</v>
      </c>
      <c r="X8" s="572">
        <f t="shared" si="1"/>
        <v>0</v>
      </c>
      <c r="Y8" s="572">
        <f t="shared" si="1"/>
        <v>0</v>
      </c>
      <c r="Z8" s="572">
        <f t="shared" si="1"/>
        <v>0</v>
      </c>
      <c r="AA8" s="572">
        <f t="shared" si="1"/>
        <v>0</v>
      </c>
    </row>
    <row r="9" spans="1:28" x14ac:dyDescent="0.25">
      <c r="A9" s="574">
        <v>1.1000000000000001</v>
      </c>
      <c r="B9" s="596" t="s">
        <v>699</v>
      </c>
      <c r="C9" s="619">
        <f t="shared" si="0"/>
        <v>0</v>
      </c>
      <c r="D9" s="572"/>
      <c r="E9" s="572"/>
      <c r="F9" s="572"/>
      <c r="G9" s="572"/>
      <c r="H9" s="572"/>
      <c r="I9" s="572"/>
      <c r="J9" s="572"/>
      <c r="K9" s="572"/>
      <c r="L9" s="572"/>
      <c r="M9" s="572"/>
      <c r="N9" s="572"/>
      <c r="O9" s="572"/>
      <c r="P9" s="572"/>
      <c r="Q9" s="572"/>
      <c r="R9" s="572"/>
      <c r="S9" s="572"/>
      <c r="T9" s="572"/>
      <c r="U9" s="572"/>
      <c r="V9" s="572"/>
      <c r="W9" s="572"/>
      <c r="X9" s="572"/>
      <c r="Y9" s="572"/>
      <c r="Z9" s="572"/>
      <c r="AA9" s="572"/>
    </row>
    <row r="10" spans="1:28" x14ac:dyDescent="0.25">
      <c r="A10" s="574">
        <v>1.2</v>
      </c>
      <c r="B10" s="596" t="s">
        <v>700</v>
      </c>
      <c r="C10" s="619">
        <f t="shared" si="0"/>
        <v>0</v>
      </c>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row>
    <row r="11" spans="1:28" x14ac:dyDescent="0.25">
      <c r="A11" s="574">
        <v>1.3</v>
      </c>
      <c r="B11" s="596" t="s">
        <v>701</v>
      </c>
      <c r="C11" s="619">
        <f t="shared" si="0"/>
        <v>0</v>
      </c>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row>
    <row r="12" spans="1:28" x14ac:dyDescent="0.25">
      <c r="A12" s="574">
        <v>1.4</v>
      </c>
      <c r="B12" s="596" t="s">
        <v>702</v>
      </c>
      <c r="C12" s="619">
        <f t="shared" si="0"/>
        <v>0</v>
      </c>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row>
    <row r="13" spans="1:28" x14ac:dyDescent="0.25">
      <c r="A13" s="574">
        <v>1.5</v>
      </c>
      <c r="B13" s="596" t="s">
        <v>703</v>
      </c>
      <c r="C13" s="762">
        <f t="shared" si="0"/>
        <v>56241396.749507457</v>
      </c>
      <c r="D13" s="573">
        <v>45883349.985887773</v>
      </c>
      <c r="E13" s="573">
        <v>2053832.6430998868</v>
      </c>
      <c r="F13" s="573">
        <v>0</v>
      </c>
      <c r="G13" s="573">
        <v>0</v>
      </c>
      <c r="H13" s="573">
        <v>5014741.1408732822</v>
      </c>
      <c r="I13" s="573">
        <v>114588.04225530112</v>
      </c>
      <c r="J13" s="573">
        <v>1356670.6092805404</v>
      </c>
      <c r="K13" s="573">
        <v>0</v>
      </c>
      <c r="L13" s="573">
        <v>5343305.6227464033</v>
      </c>
      <c r="M13" s="573">
        <v>4350.9889527720743</v>
      </c>
      <c r="N13" s="573">
        <v>2549141.9435805101</v>
      </c>
      <c r="O13" s="573">
        <v>1576531.4611355402</v>
      </c>
      <c r="P13" s="573">
        <v>428902.70392164442</v>
      </c>
      <c r="Q13" s="573">
        <v>689895.69515593606</v>
      </c>
      <c r="R13" s="573">
        <v>0</v>
      </c>
      <c r="S13" s="573">
        <v>0</v>
      </c>
      <c r="T13" s="573"/>
      <c r="U13" s="573"/>
      <c r="V13" s="573"/>
      <c r="W13" s="573"/>
      <c r="X13" s="573"/>
      <c r="Y13" s="573"/>
      <c r="Z13" s="573"/>
      <c r="AA13" s="573"/>
    </row>
    <row r="14" spans="1:28" x14ac:dyDescent="0.25">
      <c r="A14" s="574">
        <v>1.6</v>
      </c>
      <c r="B14" s="596" t="s">
        <v>704</v>
      </c>
      <c r="C14" s="762">
        <f t="shared" si="0"/>
        <v>84140900.986904591</v>
      </c>
      <c r="D14" s="573">
        <v>78120957.744024247</v>
      </c>
      <c r="E14" s="573">
        <v>1798238.9441895192</v>
      </c>
      <c r="F14" s="573">
        <v>0</v>
      </c>
      <c r="G14" s="573">
        <v>0</v>
      </c>
      <c r="H14" s="573">
        <v>2730403.2051353911</v>
      </c>
      <c r="I14" s="573">
        <v>350074.11983339029</v>
      </c>
      <c r="J14" s="573">
        <v>1495715.7087481311</v>
      </c>
      <c r="K14" s="573">
        <v>0</v>
      </c>
      <c r="L14" s="573">
        <v>3289540.0377449603</v>
      </c>
      <c r="M14" s="573">
        <v>105417.49015490328</v>
      </c>
      <c r="N14" s="573">
        <v>37391.886462230701</v>
      </c>
      <c r="O14" s="573">
        <v>1418941.0475383389</v>
      </c>
      <c r="P14" s="573">
        <v>1015909.6995567374</v>
      </c>
      <c r="Q14" s="573">
        <v>464155.99357023137</v>
      </c>
      <c r="R14" s="573">
        <v>0</v>
      </c>
      <c r="S14" s="573">
        <v>0</v>
      </c>
      <c r="T14" s="573"/>
      <c r="U14" s="573"/>
      <c r="V14" s="573"/>
      <c r="W14" s="573"/>
      <c r="X14" s="573"/>
      <c r="Y14" s="573"/>
      <c r="Z14" s="573"/>
      <c r="AA14" s="573"/>
    </row>
    <row r="15" spans="1:28" x14ac:dyDescent="0.25">
      <c r="A15" s="618">
        <v>2</v>
      </c>
      <c r="B15" s="582" t="s">
        <v>108</v>
      </c>
      <c r="C15" s="763">
        <f>C17</f>
        <v>17040228.57</v>
      </c>
      <c r="D15" s="763">
        <f>D17</f>
        <v>17040228.57</v>
      </c>
      <c r="E15" s="574"/>
      <c r="F15" s="574"/>
      <c r="G15" s="574"/>
      <c r="H15" s="574"/>
      <c r="I15" s="574"/>
      <c r="J15" s="574"/>
      <c r="K15" s="574"/>
      <c r="L15" s="574"/>
      <c r="M15" s="574"/>
      <c r="N15" s="574"/>
      <c r="O15" s="574"/>
      <c r="P15" s="574"/>
      <c r="Q15" s="574"/>
      <c r="R15" s="574"/>
      <c r="S15" s="574"/>
      <c r="T15" s="574"/>
      <c r="U15" s="574"/>
      <c r="V15" s="574"/>
      <c r="W15" s="574"/>
      <c r="X15" s="574"/>
      <c r="Y15" s="574"/>
      <c r="Z15" s="574"/>
      <c r="AA15" s="574"/>
    </row>
    <row r="16" spans="1:28" x14ac:dyDescent="0.25">
      <c r="A16" s="574">
        <v>2.1</v>
      </c>
      <c r="B16" s="596" t="s">
        <v>699</v>
      </c>
      <c r="C16" s="596"/>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row>
    <row r="17" spans="1:27" x14ac:dyDescent="0.25">
      <c r="A17" s="574">
        <v>2.2000000000000002</v>
      </c>
      <c r="B17" s="596" t="s">
        <v>700</v>
      </c>
      <c r="C17" s="764">
        <f>D17+H17+L17</f>
        <v>17040228.57</v>
      </c>
      <c r="D17" s="573">
        <v>17040228.57</v>
      </c>
      <c r="E17" s="574"/>
      <c r="F17" s="574"/>
      <c r="G17" s="574"/>
      <c r="H17" s="574"/>
      <c r="I17" s="574"/>
      <c r="J17" s="574"/>
      <c r="K17" s="574"/>
      <c r="L17" s="574"/>
      <c r="M17" s="574"/>
      <c r="N17" s="574"/>
      <c r="O17" s="574"/>
      <c r="P17" s="574"/>
      <c r="Q17" s="574"/>
      <c r="R17" s="574"/>
      <c r="S17" s="574"/>
      <c r="T17" s="574"/>
      <c r="U17" s="574"/>
      <c r="V17" s="574"/>
      <c r="W17" s="574"/>
      <c r="X17" s="574"/>
      <c r="Y17" s="574"/>
      <c r="Z17" s="574"/>
      <c r="AA17" s="574"/>
    </row>
    <row r="18" spans="1:27" x14ac:dyDescent="0.25">
      <c r="A18" s="574">
        <v>2.2999999999999998</v>
      </c>
      <c r="B18" s="596" t="s">
        <v>701</v>
      </c>
      <c r="C18" s="596"/>
      <c r="D18" s="574"/>
      <c r="E18" s="574"/>
      <c r="G18" s="574"/>
      <c r="H18" s="574"/>
      <c r="I18" s="574"/>
      <c r="J18" s="574"/>
      <c r="K18" s="574"/>
      <c r="L18" s="574"/>
      <c r="M18" s="574"/>
      <c r="N18" s="574"/>
      <c r="O18" s="574"/>
      <c r="P18" s="574"/>
      <c r="Q18" s="574"/>
      <c r="R18" s="574"/>
      <c r="S18" s="574"/>
      <c r="T18" s="574"/>
      <c r="U18" s="574"/>
      <c r="V18" s="574"/>
      <c r="W18" s="574"/>
      <c r="X18" s="574"/>
      <c r="Y18" s="574"/>
      <c r="Z18" s="574"/>
      <c r="AA18" s="574"/>
    </row>
    <row r="19" spans="1:27" x14ac:dyDescent="0.25">
      <c r="A19" s="574">
        <v>2.4</v>
      </c>
      <c r="B19" s="596" t="s">
        <v>702</v>
      </c>
      <c r="C19" s="596"/>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4"/>
    </row>
    <row r="20" spans="1:27" x14ac:dyDescent="0.25">
      <c r="A20" s="574">
        <v>2.5</v>
      </c>
      <c r="B20" s="596" t="s">
        <v>703</v>
      </c>
      <c r="C20" s="596"/>
      <c r="D20" s="574"/>
      <c r="E20" s="574"/>
      <c r="F20" s="574"/>
      <c r="G20" s="574"/>
      <c r="H20" s="574"/>
      <c r="I20" s="574"/>
      <c r="J20" s="574"/>
      <c r="K20" s="574"/>
      <c r="L20" s="574"/>
      <c r="M20" s="574"/>
      <c r="N20" s="574"/>
      <c r="O20" s="574"/>
      <c r="P20" s="574"/>
      <c r="Q20" s="574"/>
      <c r="R20" s="574"/>
      <c r="S20" s="574"/>
      <c r="T20" s="574"/>
      <c r="U20" s="574"/>
      <c r="V20" s="574"/>
      <c r="W20" s="574"/>
      <c r="X20" s="574"/>
      <c r="Y20" s="574"/>
      <c r="Z20" s="574"/>
      <c r="AA20" s="574"/>
    </row>
    <row r="21" spans="1:27" x14ac:dyDescent="0.25">
      <c r="A21" s="574">
        <v>2.6</v>
      </c>
      <c r="B21" s="596" t="s">
        <v>704</v>
      </c>
      <c r="C21" s="596"/>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row>
    <row r="22" spans="1:27" x14ac:dyDescent="0.25">
      <c r="A22" s="618">
        <v>3</v>
      </c>
      <c r="B22" s="582" t="s">
        <v>705</v>
      </c>
      <c r="C22" s="765">
        <f>C27+C28</f>
        <v>33658678.310000002</v>
      </c>
      <c r="D22" s="765">
        <f>D27+D28</f>
        <v>492982</v>
      </c>
      <c r="E22" s="620"/>
      <c r="F22" s="620"/>
      <c r="G22" s="620"/>
      <c r="H22" s="582"/>
      <c r="I22" s="620"/>
      <c r="J22" s="620"/>
      <c r="K22" s="620"/>
      <c r="L22" s="582"/>
      <c r="M22" s="620"/>
      <c r="N22" s="620"/>
      <c r="O22" s="620"/>
      <c r="P22" s="620"/>
      <c r="Q22" s="620"/>
      <c r="R22" s="620"/>
      <c r="S22" s="620"/>
      <c r="T22" s="582"/>
      <c r="U22" s="620"/>
      <c r="V22" s="620"/>
      <c r="W22" s="620"/>
      <c r="X22" s="620"/>
      <c r="Y22" s="620"/>
      <c r="Z22" s="620"/>
      <c r="AA22" s="620"/>
    </row>
    <row r="23" spans="1:27" x14ac:dyDescent="0.25">
      <c r="A23" s="574">
        <v>3.1</v>
      </c>
      <c r="B23" s="596" t="s">
        <v>699</v>
      </c>
      <c r="C23" s="596"/>
      <c r="D23" s="582"/>
      <c r="E23" s="620"/>
      <c r="F23" s="620"/>
      <c r="G23" s="620"/>
      <c r="H23" s="582"/>
      <c r="I23" s="620"/>
      <c r="J23" s="620"/>
      <c r="K23" s="620"/>
      <c r="L23" s="582"/>
      <c r="M23" s="620"/>
      <c r="N23" s="620"/>
      <c r="O23" s="620"/>
      <c r="P23" s="620"/>
      <c r="Q23" s="620"/>
      <c r="R23" s="620"/>
      <c r="S23" s="620"/>
      <c r="T23" s="582"/>
      <c r="U23" s="620"/>
      <c r="V23" s="620"/>
      <c r="W23" s="620"/>
      <c r="X23" s="620"/>
      <c r="Y23" s="620"/>
      <c r="Z23" s="620"/>
      <c r="AA23" s="620"/>
    </row>
    <row r="24" spans="1:27" x14ac:dyDescent="0.25">
      <c r="A24" s="574">
        <v>3.2</v>
      </c>
      <c r="B24" s="596" t="s">
        <v>700</v>
      </c>
      <c r="C24" s="596"/>
      <c r="D24" s="582"/>
      <c r="E24" s="620"/>
      <c r="F24" s="620"/>
      <c r="G24" s="620"/>
      <c r="H24" s="582"/>
      <c r="I24" s="620"/>
      <c r="J24" s="620"/>
      <c r="K24" s="620"/>
      <c r="L24" s="582"/>
      <c r="M24" s="620"/>
      <c r="N24" s="620"/>
      <c r="O24" s="620"/>
      <c r="P24" s="620"/>
      <c r="Q24" s="620"/>
      <c r="R24" s="620"/>
      <c r="S24" s="620"/>
      <c r="T24" s="582"/>
      <c r="U24" s="620"/>
      <c r="V24" s="620"/>
      <c r="W24" s="620"/>
      <c r="X24" s="620"/>
      <c r="Y24" s="620"/>
      <c r="Z24" s="620"/>
      <c r="AA24" s="620"/>
    </row>
    <row r="25" spans="1:27" x14ac:dyDescent="0.25">
      <c r="A25" s="574">
        <v>3.3</v>
      </c>
      <c r="B25" s="596" t="s">
        <v>701</v>
      </c>
      <c r="C25" s="596"/>
      <c r="D25" s="582"/>
      <c r="E25" s="620"/>
      <c r="F25" s="620"/>
      <c r="G25" s="620"/>
      <c r="H25" s="582"/>
      <c r="I25" s="620"/>
      <c r="J25" s="620"/>
      <c r="K25" s="620"/>
      <c r="L25" s="582"/>
      <c r="M25" s="620"/>
      <c r="N25" s="620"/>
      <c r="O25" s="620"/>
      <c r="P25" s="620"/>
      <c r="Q25" s="620"/>
      <c r="R25" s="620"/>
      <c r="S25" s="620"/>
      <c r="T25" s="582"/>
      <c r="U25" s="620"/>
      <c r="V25" s="620"/>
      <c r="W25" s="620"/>
      <c r="X25" s="620"/>
      <c r="Y25" s="620"/>
      <c r="Z25" s="620"/>
      <c r="AA25" s="620"/>
    </row>
    <row r="26" spans="1:27" x14ac:dyDescent="0.25">
      <c r="A26" s="574">
        <v>3.4</v>
      </c>
      <c r="B26" s="596" t="s">
        <v>702</v>
      </c>
      <c r="C26" s="596"/>
      <c r="D26" s="582"/>
      <c r="E26" s="620"/>
      <c r="F26" s="620"/>
      <c r="G26" s="620"/>
      <c r="H26" s="582"/>
      <c r="I26" s="620"/>
      <c r="J26" s="620"/>
      <c r="K26" s="620"/>
      <c r="L26" s="582"/>
      <c r="M26" s="620"/>
      <c r="N26" s="620"/>
      <c r="O26" s="620"/>
      <c r="P26" s="620"/>
      <c r="Q26" s="620"/>
      <c r="R26" s="620"/>
      <c r="S26" s="620"/>
      <c r="T26" s="582"/>
      <c r="U26" s="620"/>
      <c r="V26" s="620"/>
      <c r="W26" s="620"/>
      <c r="X26" s="620"/>
      <c r="Y26" s="620"/>
      <c r="Z26" s="620"/>
      <c r="AA26" s="620"/>
    </row>
    <row r="27" spans="1:27" x14ac:dyDescent="0.25">
      <c r="A27" s="574">
        <v>3.5</v>
      </c>
      <c r="B27" s="596" t="s">
        <v>703</v>
      </c>
      <c r="C27" s="766">
        <f>D27+H27+L27</f>
        <v>492982</v>
      </c>
      <c r="D27" s="759">
        <f>'4. Off-balance'!E28</f>
        <v>492982</v>
      </c>
      <c r="E27" s="620"/>
      <c r="F27" s="620"/>
      <c r="G27" s="620"/>
      <c r="H27" s="582"/>
      <c r="I27" s="620"/>
      <c r="J27" s="620"/>
      <c r="K27" s="620"/>
      <c r="L27" s="582"/>
      <c r="M27" s="620"/>
      <c r="N27" s="620"/>
      <c r="O27" s="620"/>
      <c r="P27" s="620"/>
      <c r="Q27" s="620"/>
      <c r="R27" s="620"/>
      <c r="S27" s="620"/>
      <c r="T27" s="582"/>
      <c r="U27" s="620"/>
      <c r="V27" s="620"/>
      <c r="W27" s="620"/>
      <c r="X27" s="620"/>
      <c r="Y27" s="620"/>
      <c r="Z27" s="620"/>
      <c r="AA27" s="620"/>
    </row>
    <row r="28" spans="1:27" x14ac:dyDescent="0.25">
      <c r="A28" s="574">
        <v>3.6</v>
      </c>
      <c r="B28" s="596" t="s">
        <v>704</v>
      </c>
      <c r="C28" s="766">
        <f>'4. Off-balance'!E27</f>
        <v>33165696.309999999</v>
      </c>
      <c r="D28" s="596"/>
      <c r="E28" s="620"/>
      <c r="F28" s="620"/>
      <c r="G28" s="620"/>
      <c r="H28" s="582"/>
      <c r="I28" s="620"/>
      <c r="J28" s="620"/>
      <c r="K28" s="620"/>
      <c r="L28" s="582"/>
      <c r="M28" s="620"/>
      <c r="N28" s="620"/>
      <c r="O28" s="620"/>
      <c r="P28" s="620"/>
      <c r="Q28" s="620"/>
      <c r="R28" s="620"/>
      <c r="S28" s="620"/>
      <c r="T28" s="582"/>
      <c r="U28" s="620"/>
      <c r="V28" s="620"/>
      <c r="W28" s="620"/>
      <c r="X28" s="620"/>
      <c r="Y28" s="620"/>
      <c r="Z28" s="620"/>
      <c r="AA28" s="620"/>
    </row>
  </sheetData>
  <mergeCells count="7">
    <mergeCell ref="U6:AA6"/>
    <mergeCell ref="A5:B7"/>
    <mergeCell ref="C5:S5"/>
    <mergeCell ref="C6:C7"/>
    <mergeCell ref="D6:G6"/>
    <mergeCell ref="H6:K6"/>
    <mergeCell ref="M6:S6"/>
  </mergeCells>
  <conditionalFormatting sqref="B29">
    <cfRule type="duplicateValues" dxfId="17" priority="9"/>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B493-400D-4484-A84C-EA8E717EE376}">
  <sheetPr>
    <tabColor theme="2" tint="-9.9978637043366805E-2"/>
  </sheetPr>
  <dimension ref="A1:AA22"/>
  <sheetViews>
    <sheetView showGridLines="0" topLeftCell="C1" zoomScale="115" zoomScaleNormal="115" workbookViewId="0">
      <selection activeCell="C8" sqref="C8:AA22"/>
    </sheetView>
  </sheetViews>
  <sheetFormatPr defaultColWidth="9.33203125" defaultRowHeight="12" x14ac:dyDescent="0.25"/>
  <cols>
    <col min="1" max="1" width="11.6640625" style="565" bestFit="1" customWidth="1"/>
    <col min="2" max="2" width="90.33203125" style="565" bestFit="1" customWidth="1"/>
    <col min="3" max="3" width="20.33203125" style="565" customWidth="1"/>
    <col min="4" max="4" width="22.33203125" style="565" customWidth="1"/>
    <col min="5" max="7" width="17.109375" style="565" customWidth="1"/>
    <col min="8" max="8" width="22.33203125" style="565" customWidth="1"/>
    <col min="9" max="10" width="17.109375" style="565" customWidth="1"/>
    <col min="11" max="27" width="22.33203125" style="565" customWidth="1"/>
    <col min="28" max="16384" width="9.33203125" style="565"/>
  </cols>
  <sheetData>
    <row r="1" spans="1:27" ht="13.8" x14ac:dyDescent="0.3">
      <c r="A1" s="547" t="s">
        <v>44</v>
      </c>
      <c r="B1" s="20" t="str">
        <f>Info!C2</f>
        <v>სს სილქ ბანკი</v>
      </c>
    </row>
    <row r="2" spans="1:27" x14ac:dyDescent="0.25">
      <c r="A2" s="547" t="s">
        <v>45</v>
      </c>
      <c r="B2" s="590">
        <f>'1. key ratios'!B2</f>
        <v>46112</v>
      </c>
    </row>
    <row r="3" spans="1:27" x14ac:dyDescent="0.25">
      <c r="A3" s="550" t="s">
        <v>706</v>
      </c>
      <c r="C3" s="621"/>
    </row>
    <row r="4" spans="1:27" ht="12.6" thickBot="1" x14ac:dyDescent="0.3">
      <c r="A4" s="550"/>
      <c r="B4" s="621"/>
      <c r="C4" s="621"/>
    </row>
    <row r="5" spans="1:27" ht="13.5" customHeight="1" x14ac:dyDescent="0.25">
      <c r="A5" s="894" t="s">
        <v>707</v>
      </c>
      <c r="B5" s="895"/>
      <c r="C5" s="900" t="s">
        <v>708</v>
      </c>
      <c r="D5" s="901"/>
      <c r="E5" s="901"/>
      <c r="F5" s="901"/>
      <c r="G5" s="901"/>
      <c r="H5" s="901"/>
      <c r="I5" s="901"/>
      <c r="J5" s="901"/>
      <c r="K5" s="901"/>
      <c r="L5" s="901"/>
      <c r="M5" s="901"/>
      <c r="N5" s="901"/>
      <c r="O5" s="901"/>
      <c r="P5" s="901"/>
      <c r="Q5" s="901"/>
      <c r="R5" s="901"/>
      <c r="S5" s="901"/>
      <c r="T5" s="901"/>
      <c r="U5" s="901"/>
      <c r="V5" s="901"/>
      <c r="W5" s="901"/>
      <c r="X5" s="901"/>
      <c r="Y5" s="901"/>
      <c r="Z5" s="901"/>
      <c r="AA5" s="902"/>
    </row>
    <row r="6" spans="1:27" ht="12" customHeight="1" x14ac:dyDescent="0.25">
      <c r="A6" s="896"/>
      <c r="B6" s="897"/>
      <c r="C6" s="903" t="s">
        <v>96</v>
      </c>
      <c r="D6" s="870" t="s">
        <v>687</v>
      </c>
      <c r="E6" s="870"/>
      <c r="F6" s="870"/>
      <c r="G6" s="870"/>
      <c r="H6" s="890" t="s">
        <v>688</v>
      </c>
      <c r="I6" s="891"/>
      <c r="J6" s="891"/>
      <c r="K6" s="891"/>
      <c r="L6" s="613"/>
      <c r="M6" s="873" t="s">
        <v>689</v>
      </c>
      <c r="N6" s="873"/>
      <c r="O6" s="873"/>
      <c r="P6" s="873"/>
      <c r="Q6" s="873"/>
      <c r="R6" s="873"/>
      <c r="S6" s="869"/>
      <c r="T6" s="613"/>
      <c r="U6" s="873" t="s">
        <v>690</v>
      </c>
      <c r="V6" s="873"/>
      <c r="W6" s="873"/>
      <c r="X6" s="873"/>
      <c r="Y6" s="873"/>
      <c r="Z6" s="873"/>
      <c r="AA6" s="905"/>
    </row>
    <row r="7" spans="1:27" ht="36" x14ac:dyDescent="0.25">
      <c r="A7" s="898"/>
      <c r="B7" s="899"/>
      <c r="C7" s="904"/>
      <c r="D7" s="616"/>
      <c r="E7" s="568" t="s">
        <v>691</v>
      </c>
      <c r="F7" s="568" t="s">
        <v>692</v>
      </c>
      <c r="G7" s="568" t="s">
        <v>693</v>
      </c>
      <c r="H7" s="566"/>
      <c r="I7" s="568" t="s">
        <v>691</v>
      </c>
      <c r="J7" s="568" t="s">
        <v>692</v>
      </c>
      <c r="K7" s="568" t="s">
        <v>693</v>
      </c>
      <c r="L7" s="570"/>
      <c r="M7" s="568" t="s">
        <v>691</v>
      </c>
      <c r="N7" s="568" t="s">
        <v>709</v>
      </c>
      <c r="O7" s="568" t="s">
        <v>710</v>
      </c>
      <c r="P7" s="568" t="s">
        <v>711</v>
      </c>
      <c r="Q7" s="568" t="s">
        <v>712</v>
      </c>
      <c r="R7" s="568" t="s">
        <v>713</v>
      </c>
      <c r="S7" s="568" t="s">
        <v>698</v>
      </c>
      <c r="T7" s="570"/>
      <c r="U7" s="568" t="s">
        <v>691</v>
      </c>
      <c r="V7" s="568" t="s">
        <v>709</v>
      </c>
      <c r="W7" s="568" t="s">
        <v>710</v>
      </c>
      <c r="X7" s="568" t="s">
        <v>711</v>
      </c>
      <c r="Y7" s="568" t="s">
        <v>712</v>
      </c>
      <c r="Z7" s="568" t="s">
        <v>713</v>
      </c>
      <c r="AA7" s="568" t="s">
        <v>698</v>
      </c>
    </row>
    <row r="8" spans="1:27" x14ac:dyDescent="0.25">
      <c r="A8" s="622">
        <v>1</v>
      </c>
      <c r="B8" s="623" t="s">
        <v>657</v>
      </c>
      <c r="C8" s="767">
        <f>'22. Quality'!C8</f>
        <v>140382297.73641205</v>
      </c>
      <c r="D8" s="767">
        <f>'22. Quality'!D8</f>
        <v>124004307.72991201</v>
      </c>
      <c r="E8" s="767">
        <f>'22. Quality'!E8</f>
        <v>3852071.587289406</v>
      </c>
      <c r="F8" s="767">
        <f>'22. Quality'!F8</f>
        <v>0</v>
      </c>
      <c r="G8" s="767">
        <f>'22. Quality'!G8</f>
        <v>0</v>
      </c>
      <c r="H8" s="767">
        <f>'22. Quality'!H8</f>
        <v>7745144.3460086733</v>
      </c>
      <c r="I8" s="767">
        <f>'22. Quality'!I8</f>
        <v>464662.16208869137</v>
      </c>
      <c r="J8" s="767">
        <f>'22. Quality'!J8</f>
        <v>2852386.3180286717</v>
      </c>
      <c r="K8" s="767">
        <f>'22. Quality'!K8</f>
        <v>0</v>
      </c>
      <c r="L8" s="767">
        <f>'22. Quality'!L8</f>
        <v>8632845.6604913641</v>
      </c>
      <c r="M8" s="767">
        <f>'22. Quality'!M8</f>
        <v>109768.47910767536</v>
      </c>
      <c r="N8" s="767">
        <f>'22. Quality'!N8</f>
        <v>2586533.8300427408</v>
      </c>
      <c r="O8" s="767">
        <f>'22. Quality'!O8</f>
        <v>2995472.5086738793</v>
      </c>
      <c r="P8" s="767">
        <f>'22. Quality'!P8</f>
        <v>1444812.4034783819</v>
      </c>
      <c r="Q8" s="767">
        <f>'22. Quality'!Q8</f>
        <v>1154051.6887261674</v>
      </c>
      <c r="R8" s="767">
        <f>'22. Quality'!R8</f>
        <v>0</v>
      </c>
      <c r="S8" s="767">
        <f>'22. Quality'!S8</f>
        <v>0</v>
      </c>
      <c r="T8" s="574"/>
      <c r="U8" s="574"/>
      <c r="V8" s="574"/>
      <c r="W8" s="574"/>
      <c r="X8" s="574"/>
      <c r="Y8" s="574"/>
      <c r="Z8" s="574"/>
      <c r="AA8" s="638"/>
    </row>
    <row r="9" spans="1:27" x14ac:dyDescent="0.25">
      <c r="A9" s="624">
        <v>1.1000000000000001</v>
      </c>
      <c r="B9" s="625" t="s">
        <v>714</v>
      </c>
      <c r="C9" s="768">
        <v>68123995.881993324</v>
      </c>
      <c r="D9" s="573">
        <v>57110684.31577792</v>
      </c>
      <c r="E9" s="573">
        <v>2114017.7945652795</v>
      </c>
      <c r="F9" s="573">
        <v>0</v>
      </c>
      <c r="G9" s="573">
        <v>0</v>
      </c>
      <c r="H9" s="573">
        <v>5640571.7000153502</v>
      </c>
      <c r="I9" s="573">
        <v>184591.27003696913</v>
      </c>
      <c r="J9" s="573">
        <v>1585522.075594546</v>
      </c>
      <c r="K9" s="573">
        <v>0</v>
      </c>
      <c r="L9" s="573">
        <v>5372739.8662001258</v>
      </c>
      <c r="M9" s="573">
        <v>68889.240000000005</v>
      </c>
      <c r="N9" s="573">
        <v>2487972.6674384237</v>
      </c>
      <c r="O9" s="573">
        <v>1489088.3837770799</v>
      </c>
      <c r="P9" s="573">
        <v>75771.761459854009</v>
      </c>
      <c r="Q9" s="573">
        <v>1029581.052208788</v>
      </c>
      <c r="R9" s="573">
        <v>0</v>
      </c>
      <c r="S9" s="573">
        <v>0</v>
      </c>
      <c r="T9" s="574"/>
      <c r="U9" s="574"/>
      <c r="V9" s="574"/>
      <c r="W9" s="574"/>
      <c r="X9" s="574"/>
      <c r="Y9" s="574"/>
      <c r="Z9" s="574"/>
      <c r="AA9" s="638"/>
    </row>
    <row r="10" spans="1:27" x14ac:dyDescent="0.25">
      <c r="A10" s="626" t="s">
        <v>242</v>
      </c>
      <c r="B10" s="627" t="s">
        <v>715</v>
      </c>
      <c r="C10" s="769">
        <v>48942414.988697752</v>
      </c>
      <c r="D10" s="573">
        <v>38882746.164762631</v>
      </c>
      <c r="E10" s="573">
        <v>1786358.1709020054</v>
      </c>
      <c r="F10" s="573">
        <v>0</v>
      </c>
      <c r="G10" s="573">
        <v>0</v>
      </c>
      <c r="H10" s="573">
        <v>5270534.7804313255</v>
      </c>
      <c r="I10" s="573">
        <v>147927.45490321759</v>
      </c>
      <c r="J10" s="573">
        <v>1404706.1963393432</v>
      </c>
      <c r="K10" s="573">
        <v>0</v>
      </c>
      <c r="L10" s="573">
        <v>4789134.0435037715</v>
      </c>
      <c r="M10" s="573">
        <v>68889.240000000005</v>
      </c>
      <c r="N10" s="573">
        <v>2487972.6674384237</v>
      </c>
      <c r="O10" s="573">
        <v>1144090.577489245</v>
      </c>
      <c r="P10" s="573">
        <v>0</v>
      </c>
      <c r="Q10" s="573">
        <v>989136.09122316167</v>
      </c>
      <c r="R10" s="573">
        <v>0</v>
      </c>
      <c r="S10" s="573">
        <v>0</v>
      </c>
      <c r="T10" s="574"/>
      <c r="U10" s="574"/>
      <c r="V10" s="574"/>
      <c r="W10" s="574"/>
      <c r="X10" s="574"/>
      <c r="Y10" s="574"/>
      <c r="Z10" s="574"/>
      <c r="AA10" s="638"/>
    </row>
    <row r="11" spans="1:27" x14ac:dyDescent="0.25">
      <c r="A11" s="628" t="s">
        <v>716</v>
      </c>
      <c r="B11" s="629" t="s">
        <v>717</v>
      </c>
      <c r="C11" s="770">
        <v>28971302.876426224</v>
      </c>
      <c r="D11" s="573">
        <v>22695101.852082688</v>
      </c>
      <c r="E11" s="573">
        <v>45917.674087591236</v>
      </c>
      <c r="F11" s="573">
        <v>0</v>
      </c>
      <c r="G11" s="573">
        <v>0</v>
      </c>
      <c r="H11" s="573">
        <v>5119130.2257674476</v>
      </c>
      <c r="I11" s="573">
        <v>147927.45490321759</v>
      </c>
      <c r="J11" s="573">
        <v>1404706.1963393432</v>
      </c>
      <c r="K11" s="573">
        <v>0</v>
      </c>
      <c r="L11" s="573">
        <v>1157070.7985761028</v>
      </c>
      <c r="M11" s="573">
        <v>68889.240000000005</v>
      </c>
      <c r="N11" s="573">
        <v>0</v>
      </c>
      <c r="O11" s="573">
        <v>0</v>
      </c>
      <c r="P11" s="573">
        <v>0</v>
      </c>
      <c r="Q11" s="573">
        <v>989136.09122316167</v>
      </c>
      <c r="R11" s="573">
        <v>0</v>
      </c>
      <c r="S11" s="573">
        <v>0</v>
      </c>
      <c r="T11" s="574"/>
      <c r="U11" s="574"/>
      <c r="V11" s="574"/>
      <c r="W11" s="574"/>
      <c r="X11" s="574"/>
      <c r="Y11" s="574"/>
      <c r="Z11" s="574"/>
      <c r="AA11" s="638"/>
    </row>
    <row r="12" spans="1:27" x14ac:dyDescent="0.25">
      <c r="A12" s="628" t="s">
        <v>718</v>
      </c>
      <c r="B12" s="629" t="s">
        <v>719</v>
      </c>
      <c r="C12" s="770">
        <v>13644803.849866305</v>
      </c>
      <c r="D12" s="573">
        <v>11300363.745202428</v>
      </c>
      <c r="E12" s="573">
        <v>1669205.1744030667</v>
      </c>
      <c r="F12" s="573">
        <v>0</v>
      </c>
      <c r="G12" s="573">
        <v>0</v>
      </c>
      <c r="H12" s="573">
        <v>151404.55466387808</v>
      </c>
      <c r="I12" s="573">
        <v>0</v>
      </c>
      <c r="J12" s="573">
        <v>0</v>
      </c>
      <c r="K12" s="573">
        <v>0</v>
      </c>
      <c r="L12" s="573">
        <v>2193035.5500000003</v>
      </c>
      <c r="M12" s="573">
        <v>0</v>
      </c>
      <c r="N12" s="573">
        <v>2193035.5500000003</v>
      </c>
      <c r="O12" s="573">
        <v>0</v>
      </c>
      <c r="P12" s="573">
        <v>0</v>
      </c>
      <c r="Q12" s="573">
        <v>0</v>
      </c>
      <c r="R12" s="573">
        <v>0</v>
      </c>
      <c r="S12" s="573">
        <v>0</v>
      </c>
      <c r="T12" s="574"/>
      <c r="U12" s="574"/>
      <c r="V12" s="574"/>
      <c r="W12" s="574"/>
      <c r="X12" s="574"/>
      <c r="Y12" s="574"/>
      <c r="Z12" s="574"/>
      <c r="AA12" s="638"/>
    </row>
    <row r="13" spans="1:27" x14ac:dyDescent="0.25">
      <c r="A13" s="628" t="s">
        <v>720</v>
      </c>
      <c r="B13" s="629" t="s">
        <v>721</v>
      </c>
      <c r="C13" s="770">
        <v>4161802.6112535936</v>
      </c>
      <c r="D13" s="573">
        <v>2722774.9163259249</v>
      </c>
      <c r="E13" s="573">
        <v>71235.322411347515</v>
      </c>
      <c r="F13" s="573">
        <v>0</v>
      </c>
      <c r="G13" s="573">
        <v>0</v>
      </c>
      <c r="H13" s="573">
        <v>0</v>
      </c>
      <c r="I13" s="573">
        <v>0</v>
      </c>
      <c r="J13" s="573">
        <v>0</v>
      </c>
      <c r="K13" s="573">
        <v>0</v>
      </c>
      <c r="L13" s="573">
        <v>1439027.6949276687</v>
      </c>
      <c r="M13" s="573">
        <v>0</v>
      </c>
      <c r="N13" s="573">
        <v>294937.11743842362</v>
      </c>
      <c r="O13" s="573">
        <v>1144090.577489245</v>
      </c>
      <c r="P13" s="573">
        <v>0</v>
      </c>
      <c r="Q13" s="573">
        <v>0</v>
      </c>
      <c r="R13" s="573">
        <v>0</v>
      </c>
      <c r="S13" s="573">
        <v>0</v>
      </c>
      <c r="T13" s="574"/>
      <c r="U13" s="574"/>
      <c r="V13" s="574"/>
      <c r="W13" s="574"/>
      <c r="X13" s="574"/>
      <c r="Y13" s="574"/>
      <c r="Z13" s="574"/>
      <c r="AA13" s="638"/>
    </row>
    <row r="14" spans="1:27" x14ac:dyDescent="0.25">
      <c r="A14" s="628" t="s">
        <v>722</v>
      </c>
      <c r="B14" s="629" t="s">
        <v>723</v>
      </c>
      <c r="C14" s="770">
        <v>2164505.6511516105</v>
      </c>
      <c r="D14" s="573">
        <v>2164505.6511516105</v>
      </c>
      <c r="E14" s="573">
        <v>0</v>
      </c>
      <c r="F14" s="573">
        <v>0</v>
      </c>
      <c r="G14" s="573">
        <v>0</v>
      </c>
      <c r="H14" s="573">
        <v>0</v>
      </c>
      <c r="I14" s="573">
        <v>0</v>
      </c>
      <c r="J14" s="573">
        <v>0</v>
      </c>
      <c r="K14" s="573">
        <v>0</v>
      </c>
      <c r="L14" s="573">
        <v>0</v>
      </c>
      <c r="M14" s="573">
        <v>0</v>
      </c>
      <c r="N14" s="573">
        <v>0</v>
      </c>
      <c r="O14" s="573">
        <v>0</v>
      </c>
      <c r="P14" s="573">
        <v>0</v>
      </c>
      <c r="Q14" s="573">
        <v>0</v>
      </c>
      <c r="R14" s="573">
        <v>0</v>
      </c>
      <c r="S14" s="573">
        <v>0</v>
      </c>
      <c r="T14" s="574"/>
      <c r="U14" s="574"/>
      <c r="V14" s="574"/>
      <c r="W14" s="574"/>
      <c r="X14" s="574"/>
      <c r="Y14" s="574"/>
      <c r="Z14" s="574"/>
      <c r="AA14" s="638"/>
    </row>
    <row r="15" spans="1:27" x14ac:dyDescent="0.25">
      <c r="A15" s="630">
        <v>1.2</v>
      </c>
      <c r="B15" s="631" t="s">
        <v>724</v>
      </c>
      <c r="C15" s="771">
        <v>2561134.8867263687</v>
      </c>
      <c r="D15" s="573">
        <v>753677.92984834313</v>
      </c>
      <c r="E15" s="573">
        <v>31493.034683021277</v>
      </c>
      <c r="F15" s="573">
        <v>0</v>
      </c>
      <c r="G15" s="573">
        <v>0</v>
      </c>
      <c r="H15" s="573">
        <v>474805.6153235081</v>
      </c>
      <c r="I15" s="573">
        <v>27776.236893055677</v>
      </c>
      <c r="J15" s="573">
        <v>241381.71140258672</v>
      </c>
      <c r="K15" s="573">
        <v>0</v>
      </c>
      <c r="L15" s="573">
        <v>1332651.3415545225</v>
      </c>
      <c r="M15" s="573">
        <v>51520.469695769207</v>
      </c>
      <c r="N15" s="573">
        <v>263178.76117335865</v>
      </c>
      <c r="O15" s="573">
        <v>342144.44202030264</v>
      </c>
      <c r="P15" s="573">
        <v>75771.761459854009</v>
      </c>
      <c r="Q15" s="573">
        <v>482275.01694757584</v>
      </c>
      <c r="R15" s="573">
        <v>0</v>
      </c>
      <c r="S15" s="573">
        <v>0</v>
      </c>
      <c r="T15" s="574"/>
      <c r="U15" s="574"/>
      <c r="V15" s="574"/>
      <c r="W15" s="574"/>
      <c r="X15" s="574"/>
      <c r="Y15" s="574"/>
      <c r="Z15" s="574"/>
      <c r="AA15" s="638"/>
    </row>
    <row r="16" spans="1:27" x14ac:dyDescent="0.25">
      <c r="A16" s="624">
        <v>1.3</v>
      </c>
      <c r="B16" s="631" t="s">
        <v>725</v>
      </c>
      <c r="C16" s="632">
        <f t="shared" ref="C16:S16" si="0">C17+C19</f>
        <v>1225718049.1499999</v>
      </c>
      <c r="D16" s="632">
        <f t="shared" si="0"/>
        <v>1103163125.1822248</v>
      </c>
      <c r="E16" s="632">
        <f t="shared" si="0"/>
        <v>56811483.09918464</v>
      </c>
      <c r="F16" s="632">
        <f t="shared" si="0"/>
        <v>0</v>
      </c>
      <c r="G16" s="632">
        <f t="shared" si="0"/>
        <v>0</v>
      </c>
      <c r="H16" s="632">
        <f t="shared" si="0"/>
        <v>85163098.937775299</v>
      </c>
      <c r="I16" s="632">
        <f t="shared" si="0"/>
        <v>14253661.877775321</v>
      </c>
      <c r="J16" s="632">
        <f t="shared" si="0"/>
        <v>8590493.620000001</v>
      </c>
      <c r="K16" s="632">
        <f t="shared" si="0"/>
        <v>0</v>
      </c>
      <c r="L16" s="632">
        <f t="shared" si="0"/>
        <v>37391825.029999904</v>
      </c>
      <c r="M16" s="632">
        <f t="shared" si="0"/>
        <v>199515.22</v>
      </c>
      <c r="N16" s="632">
        <f t="shared" si="0"/>
        <v>21667402.073810991</v>
      </c>
      <c r="O16" s="632">
        <f t="shared" si="0"/>
        <v>12668942.303697357</v>
      </c>
      <c r="P16" s="632">
        <f t="shared" si="0"/>
        <v>120123.1024915615</v>
      </c>
      <c r="Q16" s="632">
        <f t="shared" si="0"/>
        <v>2204926.66</v>
      </c>
      <c r="R16" s="632">
        <f t="shared" si="0"/>
        <v>0</v>
      </c>
      <c r="S16" s="632">
        <f t="shared" si="0"/>
        <v>0</v>
      </c>
      <c r="T16" s="633"/>
      <c r="U16" s="633"/>
      <c r="V16" s="633"/>
      <c r="W16" s="633"/>
      <c r="X16" s="633"/>
      <c r="Y16" s="633"/>
      <c r="Z16" s="633"/>
      <c r="AA16" s="634"/>
    </row>
    <row r="17" spans="1:27" ht="24" x14ac:dyDescent="0.25">
      <c r="A17" s="635" t="s">
        <v>726</v>
      </c>
      <c r="B17" s="636" t="s">
        <v>727</v>
      </c>
      <c r="C17" s="637">
        <f>D17+H17+L17</f>
        <v>67739917.313161865</v>
      </c>
      <c r="D17" s="572">
        <v>56786296.931771852</v>
      </c>
      <c r="E17" s="572">
        <v>2114017.7945652795</v>
      </c>
      <c r="F17" s="572">
        <v>0</v>
      </c>
      <c r="G17" s="572">
        <v>0</v>
      </c>
      <c r="H17" s="572">
        <v>5601252.5361755136</v>
      </c>
      <c r="I17" s="572">
        <v>183177.86531417651</v>
      </c>
      <c r="J17" s="572">
        <v>1585522.075594546</v>
      </c>
      <c r="K17" s="572">
        <v>0</v>
      </c>
      <c r="L17" s="572">
        <v>5352367.8452145001</v>
      </c>
      <c r="M17" s="572">
        <v>68889.240000000005</v>
      </c>
      <c r="N17" s="572">
        <v>2487972.6674384237</v>
      </c>
      <c r="O17" s="572">
        <v>1486149.6737770797</v>
      </c>
      <c r="P17" s="572">
        <v>75771.761459854009</v>
      </c>
      <c r="Q17" s="572">
        <v>1021969.9912231617</v>
      </c>
      <c r="R17" s="572">
        <v>0</v>
      </c>
      <c r="S17" s="572">
        <v>0</v>
      </c>
      <c r="T17" s="574"/>
      <c r="U17" s="574"/>
      <c r="V17" s="574"/>
      <c r="W17" s="574"/>
      <c r="X17" s="574"/>
      <c r="Y17" s="574"/>
      <c r="Z17" s="574"/>
      <c r="AA17" s="638"/>
    </row>
    <row r="18" spans="1:27" ht="24" x14ac:dyDescent="0.25">
      <c r="A18" s="639" t="s">
        <v>728</v>
      </c>
      <c r="B18" s="640" t="s">
        <v>729</v>
      </c>
      <c r="C18" s="637">
        <f>D18+H18+L18</f>
        <v>48794109.715360269</v>
      </c>
      <c r="D18" s="572">
        <v>38734440.891425177</v>
      </c>
      <c r="E18" s="572">
        <v>1786358.1709020054</v>
      </c>
      <c r="F18" s="572">
        <v>0</v>
      </c>
      <c r="G18" s="572">
        <v>0</v>
      </c>
      <c r="H18" s="572">
        <v>5270534.7804313255</v>
      </c>
      <c r="I18" s="572">
        <v>147927.45490321759</v>
      </c>
      <c r="J18" s="572">
        <v>1404706.1963393432</v>
      </c>
      <c r="K18" s="572">
        <v>0</v>
      </c>
      <c r="L18" s="572">
        <v>4789134.0435037715</v>
      </c>
      <c r="M18" s="572">
        <v>68889.240000000005</v>
      </c>
      <c r="N18" s="572">
        <v>2487972.6674384237</v>
      </c>
      <c r="O18" s="572">
        <v>1144090.577489245</v>
      </c>
      <c r="P18" s="572">
        <v>0</v>
      </c>
      <c r="Q18" s="572">
        <v>989136.09122316167</v>
      </c>
      <c r="R18" s="572">
        <v>0</v>
      </c>
      <c r="S18" s="572">
        <v>0</v>
      </c>
      <c r="T18" s="574"/>
      <c r="U18" s="574"/>
      <c r="V18" s="574"/>
      <c r="W18" s="574"/>
      <c r="X18" s="574"/>
      <c r="Y18" s="574"/>
      <c r="Z18" s="574"/>
      <c r="AA18" s="638"/>
    </row>
    <row r="19" spans="1:27" x14ac:dyDescent="0.25">
      <c r="A19" s="635" t="s">
        <v>730</v>
      </c>
      <c r="B19" s="641" t="s">
        <v>731</v>
      </c>
      <c r="C19" s="637">
        <f>D19+H19+L19</f>
        <v>1157978131.836838</v>
      </c>
      <c r="D19" s="572">
        <v>1046376828.2504529</v>
      </c>
      <c r="E19" s="572">
        <v>54697465.304619357</v>
      </c>
      <c r="F19" s="572">
        <v>0</v>
      </c>
      <c r="G19" s="572">
        <v>0</v>
      </c>
      <c r="H19" s="572">
        <v>79561846.40159978</v>
      </c>
      <c r="I19" s="572">
        <v>14070484.012461144</v>
      </c>
      <c r="J19" s="572">
        <v>7004971.5444054548</v>
      </c>
      <c r="K19" s="572">
        <v>0</v>
      </c>
      <c r="L19" s="572">
        <v>32039457.184785403</v>
      </c>
      <c r="M19" s="572">
        <v>130625.98</v>
      </c>
      <c r="N19" s="572">
        <v>19179429.406372566</v>
      </c>
      <c r="O19" s="572">
        <v>11182792.629920278</v>
      </c>
      <c r="P19" s="572">
        <v>44351.341031707489</v>
      </c>
      <c r="Q19" s="572">
        <v>1182956.6687768383</v>
      </c>
      <c r="R19" s="572">
        <v>0</v>
      </c>
      <c r="S19" s="572">
        <v>0</v>
      </c>
      <c r="T19" s="574"/>
      <c r="U19" s="574"/>
      <c r="V19" s="574"/>
      <c r="W19" s="574"/>
      <c r="X19" s="574"/>
      <c r="Y19" s="574"/>
      <c r="Z19" s="574"/>
      <c r="AA19" s="638"/>
    </row>
    <row r="20" spans="1:27" x14ac:dyDescent="0.25">
      <c r="A20" s="639" t="s">
        <v>732</v>
      </c>
      <c r="B20" s="640" t="s">
        <v>733</v>
      </c>
      <c r="C20" s="637">
        <f>D20+H20+L20</f>
        <v>60054750.114639603</v>
      </c>
      <c r="D20" s="572">
        <v>51855536.548574708</v>
      </c>
      <c r="E20" s="572">
        <v>469864.68909799098</v>
      </c>
      <c r="F20" s="572">
        <v>0</v>
      </c>
      <c r="G20" s="572">
        <v>0</v>
      </c>
      <c r="H20" s="572">
        <v>6397190.8795686718</v>
      </c>
      <c r="I20" s="572">
        <v>538361.70509678137</v>
      </c>
      <c r="J20" s="572">
        <v>1464371.2636606565</v>
      </c>
      <c r="K20" s="572">
        <v>0</v>
      </c>
      <c r="L20" s="572">
        <v>1802022.6864962182</v>
      </c>
      <c r="M20" s="572">
        <v>130625.98</v>
      </c>
      <c r="N20" s="572">
        <v>188455.88495442597</v>
      </c>
      <c r="O20" s="572">
        <v>77722.090117895044</v>
      </c>
      <c r="P20" s="572">
        <v>0</v>
      </c>
      <c r="Q20" s="572">
        <v>1170163.9487768384</v>
      </c>
      <c r="R20" s="572">
        <v>0</v>
      </c>
      <c r="S20" s="572">
        <v>0</v>
      </c>
      <c r="T20" s="574"/>
      <c r="U20" s="574"/>
      <c r="V20" s="574"/>
      <c r="W20" s="574"/>
      <c r="X20" s="574"/>
      <c r="Y20" s="574"/>
      <c r="Z20" s="574"/>
      <c r="AA20" s="638"/>
    </row>
    <row r="21" spans="1:27" x14ac:dyDescent="0.25">
      <c r="A21" s="642">
        <v>1.4</v>
      </c>
      <c r="B21" s="643" t="s">
        <v>734</v>
      </c>
      <c r="C21" s="644"/>
      <c r="D21" s="572"/>
      <c r="E21" s="572"/>
      <c r="F21" s="572"/>
      <c r="G21" s="572"/>
      <c r="H21" s="572"/>
      <c r="I21" s="572"/>
      <c r="J21" s="572"/>
      <c r="K21" s="572"/>
      <c r="L21" s="572"/>
      <c r="M21" s="572"/>
      <c r="N21" s="572"/>
      <c r="O21" s="572"/>
      <c r="P21" s="572"/>
      <c r="Q21" s="572"/>
      <c r="R21" s="572"/>
      <c r="S21" s="572"/>
      <c r="T21" s="574"/>
      <c r="U21" s="574"/>
      <c r="V21" s="574"/>
      <c r="W21" s="574"/>
      <c r="X21" s="574"/>
      <c r="Y21" s="574"/>
      <c r="Z21" s="574"/>
      <c r="AA21" s="638"/>
    </row>
    <row r="22" spans="1:27" ht="12.6" thickBot="1" x14ac:dyDescent="0.3">
      <c r="A22" s="645">
        <v>1.5</v>
      </c>
      <c r="B22" s="646" t="s">
        <v>735</v>
      </c>
      <c r="C22" s="647"/>
      <c r="D22" s="648"/>
      <c r="E22" s="648"/>
      <c r="F22" s="648"/>
      <c r="G22" s="648"/>
      <c r="H22" s="648"/>
      <c r="I22" s="648"/>
      <c r="J22" s="648"/>
      <c r="K22" s="648"/>
      <c r="L22" s="648"/>
      <c r="M22" s="648"/>
      <c r="N22" s="648"/>
      <c r="O22" s="648"/>
      <c r="P22" s="648"/>
      <c r="Q22" s="648"/>
      <c r="R22" s="648"/>
      <c r="S22" s="648"/>
      <c r="T22" s="649"/>
      <c r="U22" s="649"/>
      <c r="V22" s="649"/>
      <c r="W22" s="649"/>
      <c r="X22" s="649"/>
      <c r="Y22" s="649"/>
      <c r="Z22" s="649"/>
      <c r="AA22" s="650"/>
    </row>
  </sheetData>
  <mergeCells count="7">
    <mergeCell ref="A5:B7"/>
    <mergeCell ref="C5:AA5"/>
    <mergeCell ref="C6:C7"/>
    <mergeCell ref="D6:G6"/>
    <mergeCell ref="H6:K6"/>
    <mergeCell ref="M6:S6"/>
    <mergeCell ref="U6:AA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92A73-F7C9-4A2E-ACD9-A6CBD4A9229E}">
  <sheetPr>
    <tabColor theme="2" tint="-9.9978637043366805E-2"/>
  </sheetPr>
  <dimension ref="A1:K72"/>
  <sheetViews>
    <sheetView topLeftCell="A3" zoomScale="80" zoomScaleNormal="80" workbookViewId="0">
      <selection activeCell="F78" sqref="F78"/>
    </sheetView>
  </sheetViews>
  <sheetFormatPr defaultRowHeight="14.4" x14ac:dyDescent="0.3"/>
  <cols>
    <col min="1" max="1" width="8.88671875" style="117"/>
    <col min="2" max="2" width="69.33203125" style="118" customWidth="1"/>
    <col min="3" max="3" width="16.5546875" style="777" customWidth="1"/>
    <col min="4" max="4" width="14.44140625" style="777" customWidth="1"/>
    <col min="5" max="5" width="16.77734375" style="777" customWidth="1"/>
    <col min="6" max="6" width="16.44140625" style="777" customWidth="1"/>
    <col min="7" max="7" width="16.21875" style="777" customWidth="1"/>
    <col min="8" max="8" width="17.5546875" style="777" customWidth="1"/>
    <col min="11" max="11" width="13.6640625" customWidth="1"/>
  </cols>
  <sheetData>
    <row r="1" spans="1:8" x14ac:dyDescent="0.3">
      <c r="A1" s="19" t="s">
        <v>44</v>
      </c>
      <c r="B1" s="20" t="str">
        <f>'1. key ratios'!B1</f>
        <v>სს სილქ ბანკი</v>
      </c>
      <c r="C1" s="20"/>
      <c r="D1" s="425"/>
      <c r="E1" s="425"/>
      <c r="F1" s="425"/>
      <c r="G1" s="425"/>
    </row>
    <row r="2" spans="1:8" x14ac:dyDescent="0.3">
      <c r="A2" s="19" t="s">
        <v>45</v>
      </c>
      <c r="B2" s="22">
        <f>'1. key ratios'!B2</f>
        <v>46112</v>
      </c>
      <c r="C2" s="20"/>
      <c r="D2" s="425"/>
      <c r="E2" s="425"/>
      <c r="F2" s="425"/>
      <c r="G2" s="425"/>
    </row>
    <row r="3" spans="1:8" ht="15" thickBot="1" x14ac:dyDescent="0.35">
      <c r="A3" s="19"/>
      <c r="B3" s="21"/>
      <c r="C3" s="20"/>
      <c r="D3" s="425"/>
      <c r="E3" s="425"/>
      <c r="F3" s="425"/>
      <c r="G3" s="425"/>
    </row>
    <row r="4" spans="1:8" ht="21" customHeight="1" x14ac:dyDescent="0.3">
      <c r="A4" s="798" t="s">
        <v>48</v>
      </c>
      <c r="B4" s="799" t="s">
        <v>91</v>
      </c>
      <c r="C4" s="801" t="s">
        <v>92</v>
      </c>
      <c r="D4" s="801"/>
      <c r="E4" s="801"/>
      <c r="F4" s="801" t="s">
        <v>93</v>
      </c>
      <c r="G4" s="801"/>
      <c r="H4" s="802"/>
    </row>
    <row r="5" spans="1:8" ht="21" customHeight="1" x14ac:dyDescent="0.3">
      <c r="A5" s="798"/>
      <c r="B5" s="800"/>
      <c r="C5" s="778" t="s">
        <v>94</v>
      </c>
      <c r="D5" s="778" t="s">
        <v>95</v>
      </c>
      <c r="E5" s="778" t="s">
        <v>96</v>
      </c>
      <c r="F5" s="778" t="s">
        <v>94</v>
      </c>
      <c r="G5" s="778" t="s">
        <v>95</v>
      </c>
      <c r="H5" s="778" t="s">
        <v>96</v>
      </c>
    </row>
    <row r="6" spans="1:8" ht="26.7" customHeight="1" x14ac:dyDescent="0.3">
      <c r="A6" s="798"/>
      <c r="B6" s="91" t="s">
        <v>97</v>
      </c>
      <c r="C6" s="803"/>
      <c r="D6" s="804"/>
      <c r="E6" s="804"/>
      <c r="F6" s="804"/>
      <c r="G6" s="804"/>
      <c r="H6" s="805"/>
    </row>
    <row r="7" spans="1:8" ht="22.95" customHeight="1" x14ac:dyDescent="0.3">
      <c r="A7" s="92">
        <v>1</v>
      </c>
      <c r="B7" s="93" t="s">
        <v>98</v>
      </c>
      <c r="C7" s="113">
        <f>SUM(C8:C10)</f>
        <v>24358397.49000001</v>
      </c>
      <c r="D7" s="113">
        <f>SUM(D8:D10)</f>
        <v>15719415.320000002</v>
      </c>
      <c r="E7" s="776">
        <f>C7+D7</f>
        <v>40077812.81000001</v>
      </c>
      <c r="F7" s="113">
        <f>SUM(F8:F10)</f>
        <v>11170211.050000032</v>
      </c>
      <c r="G7" s="113">
        <f>SUM(G8:G10)</f>
        <v>19289902.829999998</v>
      </c>
      <c r="H7" s="776">
        <f>F7+G7</f>
        <v>30460113.880000032</v>
      </c>
    </row>
    <row r="8" spans="1:8" x14ac:dyDescent="0.3">
      <c r="A8" s="92">
        <v>1.1000000000000001</v>
      </c>
      <c r="B8" s="94" t="s">
        <v>99</v>
      </c>
      <c r="C8" s="114">
        <v>1918849.5999999992</v>
      </c>
      <c r="D8" s="114">
        <v>1124848.9600000007</v>
      </c>
      <c r="E8" s="776">
        <f t="shared" ref="E8:E36" si="0">C8+D8</f>
        <v>3043698.5599999996</v>
      </c>
      <c r="F8" s="113">
        <v>1388013.2999999989</v>
      </c>
      <c r="G8" s="113">
        <v>3054580.6499999994</v>
      </c>
      <c r="H8" s="776">
        <f t="shared" ref="H8:H36" si="1">F8+G8</f>
        <v>4442593.9499999983</v>
      </c>
    </row>
    <row r="9" spans="1:8" x14ac:dyDescent="0.3">
      <c r="A9" s="92">
        <v>1.2</v>
      </c>
      <c r="B9" s="94" t="s">
        <v>100</v>
      </c>
      <c r="C9" s="114">
        <v>591977.02000001073</v>
      </c>
      <c r="D9" s="114">
        <v>2485977.36</v>
      </c>
      <c r="E9" s="776">
        <f t="shared" si="0"/>
        <v>3077954.3800000106</v>
      </c>
      <c r="F9" s="113">
        <v>899105.34000003338</v>
      </c>
      <c r="G9" s="113">
        <v>2920806.1</v>
      </c>
      <c r="H9" s="776">
        <f t="shared" si="1"/>
        <v>3819911.4400000335</v>
      </c>
    </row>
    <row r="10" spans="1:8" x14ac:dyDescent="0.3">
      <c r="A10" s="92">
        <v>1.3</v>
      </c>
      <c r="B10" s="94" t="s">
        <v>101</v>
      </c>
      <c r="C10" s="782">
        <v>21847570.870000001</v>
      </c>
      <c r="D10" s="782">
        <v>12108589.000000002</v>
      </c>
      <c r="E10" s="776">
        <f t="shared" si="0"/>
        <v>33956159.870000005</v>
      </c>
      <c r="F10" s="113">
        <v>8883092.4100000001</v>
      </c>
      <c r="G10" s="113">
        <v>13314516.079999998</v>
      </c>
      <c r="H10" s="776">
        <f t="shared" si="1"/>
        <v>22197608.489999998</v>
      </c>
    </row>
    <row r="11" spans="1:8" x14ac:dyDescent="0.3">
      <c r="A11" s="92">
        <v>2</v>
      </c>
      <c r="B11" s="97" t="s">
        <v>102</v>
      </c>
      <c r="C11" s="114">
        <f>C12</f>
        <v>318758</v>
      </c>
      <c r="D11" s="114">
        <f>D12</f>
        <v>0</v>
      </c>
      <c r="E11" s="776">
        <f t="shared" si="0"/>
        <v>318758</v>
      </c>
      <c r="F11" s="113">
        <v>150046.31047218281</v>
      </c>
      <c r="G11" s="113">
        <v>0</v>
      </c>
      <c r="H11" s="776">
        <f t="shared" si="1"/>
        <v>150046.31047218281</v>
      </c>
    </row>
    <row r="12" spans="1:8" x14ac:dyDescent="0.3">
      <c r="A12" s="92">
        <v>2.1</v>
      </c>
      <c r="B12" s="98" t="s">
        <v>103</v>
      </c>
      <c r="C12" s="114">
        <v>318758</v>
      </c>
      <c r="D12" s="113"/>
      <c r="E12" s="776">
        <f t="shared" si="0"/>
        <v>318758</v>
      </c>
      <c r="F12" s="113">
        <v>150046.31047218281</v>
      </c>
      <c r="G12" s="113">
        <v>0</v>
      </c>
      <c r="H12" s="776">
        <f t="shared" si="1"/>
        <v>150046.31047218281</v>
      </c>
    </row>
    <row r="13" spans="1:8" ht="26.7" customHeight="1" x14ac:dyDescent="0.3">
      <c r="A13" s="92">
        <v>3</v>
      </c>
      <c r="B13" s="99" t="s">
        <v>104</v>
      </c>
      <c r="C13" s="113"/>
      <c r="D13" s="113"/>
      <c r="E13" s="776">
        <f t="shared" si="0"/>
        <v>0</v>
      </c>
      <c r="F13" s="113"/>
      <c r="G13" s="113"/>
      <c r="H13" s="776">
        <f t="shared" si="1"/>
        <v>0</v>
      </c>
    </row>
    <row r="14" spans="1:8" ht="26.7" customHeight="1" x14ac:dyDescent="0.3">
      <c r="A14" s="92">
        <v>4</v>
      </c>
      <c r="B14" s="100" t="s">
        <v>105</v>
      </c>
      <c r="C14" s="113"/>
      <c r="D14" s="113"/>
      <c r="E14" s="776">
        <f t="shared" si="0"/>
        <v>0</v>
      </c>
      <c r="F14" s="113"/>
      <c r="G14" s="113"/>
      <c r="H14" s="776">
        <f t="shared" si="1"/>
        <v>0</v>
      </c>
    </row>
    <row r="15" spans="1:8" ht="24.45" customHeight="1" x14ac:dyDescent="0.3">
      <c r="A15" s="92">
        <v>5</v>
      </c>
      <c r="B15" s="100" t="s">
        <v>106</v>
      </c>
      <c r="C15" s="783">
        <f>SUM(C16:C18)</f>
        <v>20000</v>
      </c>
      <c r="D15" s="783">
        <f>SUM(D16:D18)</f>
        <v>0</v>
      </c>
      <c r="E15" s="784">
        <f t="shared" si="0"/>
        <v>20000</v>
      </c>
      <c r="F15" s="783">
        <f>SUM(F16:F18)</f>
        <v>20000</v>
      </c>
      <c r="G15" s="783">
        <f>SUM(G16:G18)</f>
        <v>0</v>
      </c>
      <c r="H15" s="784">
        <f t="shared" si="1"/>
        <v>20000</v>
      </c>
    </row>
    <row r="16" spans="1:8" x14ac:dyDescent="0.3">
      <c r="A16" s="92">
        <v>5.0999999999999996</v>
      </c>
      <c r="B16" s="101" t="s">
        <v>107</v>
      </c>
      <c r="C16" s="114">
        <v>20000</v>
      </c>
      <c r="D16" s="114"/>
      <c r="E16" s="776">
        <f t="shared" si="0"/>
        <v>20000</v>
      </c>
      <c r="F16" s="113">
        <v>20000</v>
      </c>
      <c r="G16" s="113"/>
      <c r="H16" s="776">
        <f t="shared" si="1"/>
        <v>20000</v>
      </c>
    </row>
    <row r="17" spans="1:8" x14ac:dyDescent="0.3">
      <c r="A17" s="92">
        <v>5.2</v>
      </c>
      <c r="B17" s="101" t="s">
        <v>108</v>
      </c>
      <c r="C17" s="113"/>
      <c r="D17" s="113"/>
      <c r="E17" s="776">
        <f t="shared" si="0"/>
        <v>0</v>
      </c>
      <c r="F17" s="113"/>
      <c r="G17" s="113"/>
      <c r="H17" s="776">
        <f t="shared" si="1"/>
        <v>0</v>
      </c>
    </row>
    <row r="18" spans="1:8" x14ac:dyDescent="0.3">
      <c r="A18" s="92">
        <v>5.3</v>
      </c>
      <c r="B18" s="101" t="s">
        <v>109</v>
      </c>
      <c r="C18" s="113"/>
      <c r="D18" s="113"/>
      <c r="E18" s="776">
        <f t="shared" si="0"/>
        <v>0</v>
      </c>
      <c r="F18" s="113"/>
      <c r="G18" s="113"/>
      <c r="H18" s="776">
        <f t="shared" si="1"/>
        <v>0</v>
      </c>
    </row>
    <row r="19" spans="1:8" x14ac:dyDescent="0.3">
      <c r="A19" s="92">
        <v>6</v>
      </c>
      <c r="B19" s="99" t="s">
        <v>110</v>
      </c>
      <c r="C19" s="113">
        <f>SUM(C20:C21)</f>
        <v>133199552.88441037</v>
      </c>
      <c r="D19" s="113">
        <f>SUM(D20:D21)</f>
        <v>17343947.735368811</v>
      </c>
      <c r="E19" s="776">
        <f t="shared" si="0"/>
        <v>150543500.61977917</v>
      </c>
      <c r="F19" s="113">
        <f>SUM(F20:F21)</f>
        <v>107611802.96908198</v>
      </c>
      <c r="G19" s="113">
        <f>SUM(G20:G21)</f>
        <v>46324836.243855208</v>
      </c>
      <c r="H19" s="776">
        <f t="shared" si="1"/>
        <v>153936639.21293718</v>
      </c>
    </row>
    <row r="20" spans="1:8" x14ac:dyDescent="0.3">
      <c r="A20" s="92">
        <v>6.1</v>
      </c>
      <c r="B20" s="101" t="s">
        <v>108</v>
      </c>
      <c r="C20" s="114">
        <v>16988852.280861448</v>
      </c>
      <c r="D20" s="114">
        <v>0</v>
      </c>
      <c r="E20" s="776">
        <f t="shared" si="0"/>
        <v>16988852.280861448</v>
      </c>
      <c r="F20" s="113">
        <v>24301148.331410542</v>
      </c>
      <c r="G20" s="113">
        <v>0</v>
      </c>
      <c r="H20" s="776">
        <f t="shared" si="1"/>
        <v>24301148.331410542</v>
      </c>
    </row>
    <row r="21" spans="1:8" x14ac:dyDescent="0.3">
      <c r="A21" s="92">
        <v>6.2</v>
      </c>
      <c r="B21" s="101" t="s">
        <v>109</v>
      </c>
      <c r="C21" s="114">
        <v>116210700.60354891</v>
      </c>
      <c r="D21" s="114">
        <v>17343947.735368811</v>
      </c>
      <c r="E21" s="776">
        <f t="shared" si="0"/>
        <v>133554648.33891773</v>
      </c>
      <c r="F21" s="113">
        <v>83310654.637671441</v>
      </c>
      <c r="G21" s="113">
        <v>46324836.243855208</v>
      </c>
      <c r="H21" s="776">
        <f t="shared" si="1"/>
        <v>129635490.88152665</v>
      </c>
    </row>
    <row r="22" spans="1:8" x14ac:dyDescent="0.3">
      <c r="A22" s="92">
        <v>7</v>
      </c>
      <c r="B22" s="102" t="s">
        <v>111</v>
      </c>
      <c r="C22" s="113"/>
      <c r="D22" s="113"/>
      <c r="E22" s="776">
        <f t="shared" si="0"/>
        <v>0</v>
      </c>
      <c r="F22" s="113"/>
      <c r="G22" s="113"/>
      <c r="H22" s="776">
        <f t="shared" si="1"/>
        <v>0</v>
      </c>
    </row>
    <row r="23" spans="1:8" x14ac:dyDescent="0.3">
      <c r="A23" s="92">
        <v>8</v>
      </c>
      <c r="B23" s="103" t="s">
        <v>112</v>
      </c>
      <c r="C23" s="114">
        <v>3353967.77110318</v>
      </c>
      <c r="D23" s="114">
        <v>0</v>
      </c>
      <c r="E23" s="776">
        <f t="shared" si="0"/>
        <v>3353967.77110318</v>
      </c>
      <c r="F23" s="113">
        <v>3482447.7104663118</v>
      </c>
      <c r="G23" s="113"/>
      <c r="H23" s="776">
        <f t="shared" si="1"/>
        <v>3482447.7104663118</v>
      </c>
    </row>
    <row r="24" spans="1:8" x14ac:dyDescent="0.3">
      <c r="A24" s="92">
        <v>9</v>
      </c>
      <c r="B24" s="100" t="s">
        <v>113</v>
      </c>
      <c r="C24" s="113">
        <f>SUM(C25:C26)</f>
        <v>17379909.298788853</v>
      </c>
      <c r="D24" s="113">
        <f>SUM(D25:D26)</f>
        <v>0</v>
      </c>
      <c r="E24" s="776">
        <f t="shared" si="0"/>
        <v>17379909.298788853</v>
      </c>
      <c r="F24" s="113">
        <f>SUM(F25:F26)</f>
        <v>17965176.992951196</v>
      </c>
      <c r="G24" s="113">
        <f>SUM(G25:G26)</f>
        <v>0</v>
      </c>
      <c r="H24" s="776">
        <f t="shared" si="1"/>
        <v>17965176.992951196</v>
      </c>
    </row>
    <row r="25" spans="1:8" x14ac:dyDescent="0.3">
      <c r="A25" s="92">
        <v>9.1</v>
      </c>
      <c r="B25" s="104" t="s">
        <v>114</v>
      </c>
      <c r="C25" s="114">
        <v>17379909.298788853</v>
      </c>
      <c r="D25" s="114"/>
      <c r="E25" s="776">
        <f t="shared" si="0"/>
        <v>17379909.298788853</v>
      </c>
      <c r="F25" s="113">
        <v>17965176.992951196</v>
      </c>
      <c r="G25" s="113"/>
      <c r="H25" s="776">
        <f t="shared" si="1"/>
        <v>17965176.992951196</v>
      </c>
    </row>
    <row r="26" spans="1:8" x14ac:dyDescent="0.3">
      <c r="A26" s="92">
        <v>9.1999999999999993</v>
      </c>
      <c r="B26" s="104" t="s">
        <v>115</v>
      </c>
      <c r="C26" s="114"/>
      <c r="D26" s="114"/>
      <c r="E26" s="776">
        <f t="shared" si="0"/>
        <v>0</v>
      </c>
      <c r="F26" s="113"/>
      <c r="G26" s="113"/>
      <c r="H26" s="776">
        <f t="shared" si="1"/>
        <v>0</v>
      </c>
    </row>
    <row r="27" spans="1:8" x14ac:dyDescent="0.3">
      <c r="A27" s="92">
        <v>10</v>
      </c>
      <c r="B27" s="100" t="s">
        <v>116</v>
      </c>
      <c r="C27" s="113">
        <f>SUM(C28:C29)</f>
        <v>12738280.079999996</v>
      </c>
      <c r="D27" s="113">
        <f>SUM(D28:D29)</f>
        <v>0</v>
      </c>
      <c r="E27" s="776">
        <f t="shared" si="0"/>
        <v>12738280.079999996</v>
      </c>
      <c r="F27" s="113">
        <f>SUM(F28:F29)</f>
        <v>12826055.879999995</v>
      </c>
      <c r="G27" s="113">
        <f>SUM(G28:G29)</f>
        <v>0</v>
      </c>
      <c r="H27" s="776">
        <f t="shared" si="1"/>
        <v>12826055.879999995</v>
      </c>
    </row>
    <row r="28" spans="1:8" x14ac:dyDescent="0.3">
      <c r="A28" s="92">
        <v>10.1</v>
      </c>
      <c r="B28" s="104" t="s">
        <v>117</v>
      </c>
      <c r="C28" s="114"/>
      <c r="D28" s="114"/>
      <c r="E28" s="776">
        <f t="shared" si="0"/>
        <v>0</v>
      </c>
      <c r="F28" s="113"/>
      <c r="G28" s="113"/>
      <c r="H28" s="776">
        <f t="shared" si="1"/>
        <v>0</v>
      </c>
    </row>
    <row r="29" spans="1:8" x14ac:dyDescent="0.3">
      <c r="A29" s="92">
        <v>10.199999999999999</v>
      </c>
      <c r="B29" s="104" t="s">
        <v>118</v>
      </c>
      <c r="C29" s="114">
        <v>12738280.079999996</v>
      </c>
      <c r="D29" s="114"/>
      <c r="E29" s="776">
        <f t="shared" si="0"/>
        <v>12738280.079999996</v>
      </c>
      <c r="F29" s="113">
        <v>12826055.879999995</v>
      </c>
      <c r="G29" s="113"/>
      <c r="H29" s="776">
        <f t="shared" si="1"/>
        <v>12826055.879999995</v>
      </c>
    </row>
    <row r="30" spans="1:8" x14ac:dyDescent="0.3">
      <c r="A30" s="92">
        <v>11</v>
      </c>
      <c r="B30" s="100" t="s">
        <v>119</v>
      </c>
      <c r="C30" s="113">
        <f>SUM(C31:C32)</f>
        <v>2911052.4940089369</v>
      </c>
      <c r="D30" s="113">
        <f>SUM(D31:D32)</f>
        <v>0</v>
      </c>
      <c r="E30" s="776">
        <f t="shared" si="0"/>
        <v>2911052.4940089369</v>
      </c>
      <c r="F30" s="113">
        <f>SUM(F31:F32)</f>
        <v>1252718.6304127974</v>
      </c>
      <c r="G30" s="113">
        <f>SUM(G31:G32)</f>
        <v>0</v>
      </c>
      <c r="H30" s="776">
        <f t="shared" si="1"/>
        <v>1252718.6304127974</v>
      </c>
    </row>
    <row r="31" spans="1:8" x14ac:dyDescent="0.3">
      <c r="A31" s="92">
        <v>11.1</v>
      </c>
      <c r="B31" s="104" t="s">
        <v>120</v>
      </c>
      <c r="C31" s="114">
        <v>45248.5</v>
      </c>
      <c r="D31" s="114"/>
      <c r="E31" s="776">
        <f t="shared" si="0"/>
        <v>45248.5</v>
      </c>
      <c r="F31" s="113">
        <v>45248.5</v>
      </c>
      <c r="G31" s="113"/>
      <c r="H31" s="776">
        <f t="shared" si="1"/>
        <v>45248.5</v>
      </c>
    </row>
    <row r="32" spans="1:8" x14ac:dyDescent="0.3">
      <c r="A32" s="92">
        <v>11.2</v>
      </c>
      <c r="B32" s="104" t="s">
        <v>121</v>
      </c>
      <c r="C32" s="114">
        <v>2865803.9940089369</v>
      </c>
      <c r="D32" s="114"/>
      <c r="E32" s="776">
        <f t="shared" si="0"/>
        <v>2865803.9940089369</v>
      </c>
      <c r="F32" s="113">
        <v>1207470.1304127974</v>
      </c>
      <c r="G32" s="113"/>
      <c r="H32" s="776">
        <f t="shared" si="1"/>
        <v>1207470.1304127974</v>
      </c>
    </row>
    <row r="33" spans="1:8" x14ac:dyDescent="0.3">
      <c r="A33" s="92">
        <v>13</v>
      </c>
      <c r="B33" s="100" t="s">
        <v>122</v>
      </c>
      <c r="C33" s="782">
        <v>15996428.74775001</v>
      </c>
      <c r="D33" s="782">
        <v>31571.870000000003</v>
      </c>
      <c r="E33" s="776">
        <f t="shared" si="0"/>
        <v>16028000.61775001</v>
      </c>
      <c r="F33" s="113">
        <v>5695914.7586899986</v>
      </c>
      <c r="G33" s="113">
        <v>58196.81</v>
      </c>
      <c r="H33" s="776">
        <f t="shared" si="1"/>
        <v>5754111.5686899982</v>
      </c>
    </row>
    <row r="34" spans="1:8" x14ac:dyDescent="0.3">
      <c r="A34" s="92">
        <v>13.1</v>
      </c>
      <c r="B34" s="105" t="s">
        <v>123</v>
      </c>
      <c r="C34" s="113"/>
      <c r="D34" s="113"/>
      <c r="E34" s="776">
        <f t="shared" si="0"/>
        <v>0</v>
      </c>
      <c r="F34" s="113"/>
      <c r="G34" s="113"/>
      <c r="H34" s="776">
        <f t="shared" si="1"/>
        <v>0</v>
      </c>
    </row>
    <row r="35" spans="1:8" x14ac:dyDescent="0.3">
      <c r="A35" s="92">
        <v>13.2</v>
      </c>
      <c r="B35" s="105" t="s">
        <v>124</v>
      </c>
      <c r="C35" s="113"/>
      <c r="D35" s="113"/>
      <c r="E35" s="776">
        <f t="shared" si="0"/>
        <v>0</v>
      </c>
      <c r="F35" s="113"/>
      <c r="G35" s="113"/>
      <c r="H35" s="776">
        <f t="shared" si="1"/>
        <v>0</v>
      </c>
    </row>
    <row r="36" spans="1:8" x14ac:dyDescent="0.3">
      <c r="A36" s="92">
        <v>14</v>
      </c>
      <c r="B36" s="106" t="s">
        <v>125</v>
      </c>
      <c r="C36" s="113">
        <f>SUM(C7,C11,C13,C14,C15,C19,C22,C23,C24,C27,C30,C33)</f>
        <v>210276346.76606134</v>
      </c>
      <c r="D36" s="113">
        <f>SUM(D7,D11,D13,D14,D15,D19,D22,D23,D24,D27,D30,D33)</f>
        <v>33094934.925368812</v>
      </c>
      <c r="E36" s="776">
        <f t="shared" si="0"/>
        <v>243371281.69143015</v>
      </c>
      <c r="F36" s="113">
        <f>SUM(F7,F11,F13,F14,F15,F19,F22,F23,F24,F27,F30,F33)</f>
        <v>160174374.30207449</v>
      </c>
      <c r="G36" s="113">
        <f>SUM(G7,G11,G13,G14,G15,G19,G22,G23,G24,G27,G30,G33)</f>
        <v>65672935.883855209</v>
      </c>
      <c r="H36" s="776">
        <f t="shared" si="1"/>
        <v>225847310.18592972</v>
      </c>
    </row>
    <row r="37" spans="1:8" ht="22.5" customHeight="1" x14ac:dyDescent="0.3">
      <c r="A37" s="92"/>
      <c r="B37" s="107" t="s">
        <v>126</v>
      </c>
      <c r="C37" s="779"/>
      <c r="D37" s="780"/>
      <c r="E37" s="780"/>
      <c r="F37" s="780"/>
      <c r="G37" s="780"/>
      <c r="H37" s="781"/>
    </row>
    <row r="38" spans="1:8" x14ac:dyDescent="0.3">
      <c r="A38" s="92">
        <v>15</v>
      </c>
      <c r="B38" s="108" t="s">
        <v>127</v>
      </c>
      <c r="C38" s="114">
        <f>C39</f>
        <v>11079.999999999884</v>
      </c>
      <c r="D38" s="114">
        <f>D39</f>
        <v>0</v>
      </c>
      <c r="E38" s="776">
        <f>C38+D38</f>
        <v>11079.999999999884</v>
      </c>
      <c r="F38" s="113">
        <v>0</v>
      </c>
      <c r="G38" s="113">
        <v>35893.766611955027</v>
      </c>
      <c r="H38" s="776">
        <f>F38+G38</f>
        <v>35893.766611955027</v>
      </c>
    </row>
    <row r="39" spans="1:8" x14ac:dyDescent="0.3">
      <c r="A39" s="92">
        <v>15.1</v>
      </c>
      <c r="B39" s="98" t="s">
        <v>103</v>
      </c>
      <c r="C39" s="114">
        <v>11079.999999999884</v>
      </c>
      <c r="D39" s="114">
        <v>0</v>
      </c>
      <c r="E39" s="776">
        <f t="shared" ref="E39:E53" si="2">C39+D39</f>
        <v>11079.999999999884</v>
      </c>
      <c r="F39" s="113">
        <v>0</v>
      </c>
      <c r="G39" s="113">
        <v>35893.766611955027</v>
      </c>
      <c r="H39" s="776">
        <f t="shared" ref="H39:H53" si="3">F39+G39</f>
        <v>35893.766611955027</v>
      </c>
    </row>
    <row r="40" spans="1:8" ht="24" customHeight="1" x14ac:dyDescent="0.3">
      <c r="A40" s="92">
        <v>16</v>
      </c>
      <c r="B40" s="102" t="s">
        <v>128</v>
      </c>
      <c r="C40" s="113"/>
      <c r="D40" s="113"/>
      <c r="E40" s="776">
        <f t="shared" si="2"/>
        <v>0</v>
      </c>
      <c r="F40" s="113"/>
      <c r="G40" s="113"/>
      <c r="H40" s="776">
        <f t="shared" si="3"/>
        <v>0</v>
      </c>
    </row>
    <row r="41" spans="1:8" x14ac:dyDescent="0.3">
      <c r="A41" s="92">
        <v>17</v>
      </c>
      <c r="B41" s="102" t="s">
        <v>129</v>
      </c>
      <c r="C41" s="113">
        <f>SUM(C42:C45)</f>
        <v>126969195.22096862</v>
      </c>
      <c r="D41" s="113">
        <f>SUM(D42:D45)</f>
        <v>24993882.309613727</v>
      </c>
      <c r="E41" s="776">
        <f t="shared" si="2"/>
        <v>151963077.53058234</v>
      </c>
      <c r="F41" s="113">
        <f>SUM(F42:F45)</f>
        <v>120162886.71323782</v>
      </c>
      <c r="G41" s="113">
        <f>SUM(G42:G45)</f>
        <v>27897765.28670942</v>
      </c>
      <c r="H41" s="776">
        <f t="shared" si="3"/>
        <v>148060651.99994725</v>
      </c>
    </row>
    <row r="42" spans="1:8" x14ac:dyDescent="0.3">
      <c r="A42" s="92">
        <v>17.100000000000001</v>
      </c>
      <c r="B42" s="109" t="s">
        <v>130</v>
      </c>
      <c r="C42" s="782">
        <v>126963987.81258428</v>
      </c>
      <c r="D42" s="782">
        <v>24400739.48999995</v>
      </c>
      <c r="E42" s="776">
        <f t="shared" si="2"/>
        <v>151364727.30258423</v>
      </c>
      <c r="F42" s="113">
        <v>120149400.54279819</v>
      </c>
      <c r="G42" s="113">
        <v>27123303.230000019</v>
      </c>
      <c r="H42" s="776">
        <f t="shared" si="3"/>
        <v>147272703.77279821</v>
      </c>
    </row>
    <row r="43" spans="1:8" x14ac:dyDescent="0.3">
      <c r="A43" s="92">
        <v>17.2</v>
      </c>
      <c r="B43" s="94" t="s">
        <v>131</v>
      </c>
      <c r="C43" s="114">
        <v>0</v>
      </c>
      <c r="D43" s="114">
        <v>0</v>
      </c>
      <c r="E43" s="776">
        <f t="shared" si="2"/>
        <v>0</v>
      </c>
      <c r="F43" s="113">
        <v>0</v>
      </c>
      <c r="G43" s="113">
        <v>0</v>
      </c>
      <c r="H43" s="776">
        <f t="shared" si="3"/>
        <v>0</v>
      </c>
    </row>
    <row r="44" spans="1:8" x14ac:dyDescent="0.3">
      <c r="A44" s="92">
        <v>17.3</v>
      </c>
      <c r="B44" s="109" t="s">
        <v>132</v>
      </c>
      <c r="C44" s="114"/>
      <c r="D44" s="114"/>
      <c r="E44" s="776">
        <f t="shared" si="2"/>
        <v>0</v>
      </c>
      <c r="F44" s="113"/>
      <c r="G44" s="113"/>
      <c r="H44" s="776">
        <f t="shared" si="3"/>
        <v>0</v>
      </c>
    </row>
    <row r="45" spans="1:8" x14ac:dyDescent="0.3">
      <c r="A45" s="92">
        <v>17.399999999999999</v>
      </c>
      <c r="B45" s="109" t="s">
        <v>133</v>
      </c>
      <c r="C45" s="782">
        <v>5207.4083843381604</v>
      </c>
      <c r="D45" s="782">
        <v>593142.8196137778</v>
      </c>
      <c r="E45" s="776">
        <f t="shared" si="2"/>
        <v>598350.22799811594</v>
      </c>
      <c r="F45" s="113">
        <v>13486.170439631496</v>
      </c>
      <c r="G45" s="113">
        <v>774462.05670940271</v>
      </c>
      <c r="H45" s="776">
        <f t="shared" si="3"/>
        <v>787948.22714903415</v>
      </c>
    </row>
    <row r="46" spans="1:8" x14ac:dyDescent="0.3">
      <c r="A46" s="92">
        <v>18</v>
      </c>
      <c r="B46" s="100" t="s">
        <v>134</v>
      </c>
      <c r="C46" s="114">
        <v>164254.37054107676</v>
      </c>
      <c r="D46" s="114">
        <v>480.56716213310176</v>
      </c>
      <c r="E46" s="776">
        <f t="shared" si="2"/>
        <v>164734.93770320987</v>
      </c>
      <c r="F46" s="113">
        <v>87453.985942712286</v>
      </c>
      <c r="G46" s="113">
        <v>12690.656533048554</v>
      </c>
      <c r="H46" s="776">
        <f t="shared" si="3"/>
        <v>100144.64247576083</v>
      </c>
    </row>
    <row r="47" spans="1:8" x14ac:dyDescent="0.3">
      <c r="A47" s="92">
        <v>19</v>
      </c>
      <c r="B47" s="100" t="s">
        <v>135</v>
      </c>
      <c r="C47" s="113">
        <f>SUM(C48:C49)</f>
        <v>0</v>
      </c>
      <c r="D47" s="113">
        <f>SUM(D48:D49)</f>
        <v>0</v>
      </c>
      <c r="E47" s="776">
        <f t="shared" si="2"/>
        <v>0</v>
      </c>
      <c r="F47" s="113">
        <f>SUM(F48:F49)</f>
        <v>0</v>
      </c>
      <c r="G47" s="113">
        <f>SUM(G48:G49)</f>
        <v>0</v>
      </c>
      <c r="H47" s="776">
        <f t="shared" si="3"/>
        <v>0</v>
      </c>
    </row>
    <row r="48" spans="1:8" x14ac:dyDescent="0.3">
      <c r="A48" s="92">
        <v>19.100000000000001</v>
      </c>
      <c r="B48" s="110" t="s">
        <v>136</v>
      </c>
      <c r="C48" s="113"/>
      <c r="D48" s="113"/>
      <c r="E48" s="776">
        <f t="shared" si="2"/>
        <v>0</v>
      </c>
      <c r="F48" s="113"/>
      <c r="G48" s="113"/>
      <c r="H48" s="776">
        <f t="shared" si="3"/>
        <v>0</v>
      </c>
    </row>
    <row r="49" spans="1:11" x14ac:dyDescent="0.3">
      <c r="A49" s="92">
        <v>19.2</v>
      </c>
      <c r="B49" s="111" t="s">
        <v>137</v>
      </c>
      <c r="C49" s="113"/>
      <c r="D49" s="113"/>
      <c r="E49" s="776">
        <f t="shared" si="2"/>
        <v>0</v>
      </c>
      <c r="F49" s="113"/>
      <c r="G49" s="113"/>
      <c r="H49" s="776">
        <f t="shared" si="3"/>
        <v>0</v>
      </c>
    </row>
    <row r="50" spans="1:11" x14ac:dyDescent="0.3">
      <c r="A50" s="92">
        <v>20</v>
      </c>
      <c r="B50" s="106" t="s">
        <v>138</v>
      </c>
      <c r="C50" s="114">
        <v>13672342.300000001</v>
      </c>
      <c r="D50" s="114">
        <v>5568427.0876024496</v>
      </c>
      <c r="E50" s="776">
        <f t="shared" si="2"/>
        <v>19240769.387602448</v>
      </c>
      <c r="F50" s="113">
        <v>0</v>
      </c>
      <c r="G50" s="113">
        <v>4462299.609817774</v>
      </c>
      <c r="H50" s="776">
        <f t="shared" si="3"/>
        <v>4462299.609817774</v>
      </c>
    </row>
    <row r="51" spans="1:11" x14ac:dyDescent="0.3">
      <c r="A51" s="92">
        <v>21</v>
      </c>
      <c r="B51" s="97" t="s">
        <v>139</v>
      </c>
      <c r="C51" s="114">
        <v>1942408.5005868208</v>
      </c>
      <c r="D51" s="114">
        <v>433860.68000000017</v>
      </c>
      <c r="E51" s="776">
        <f t="shared" si="2"/>
        <v>2376269.1805868209</v>
      </c>
      <c r="F51" s="113">
        <v>1046468.671057455</v>
      </c>
      <c r="G51" s="113">
        <v>344046.01</v>
      </c>
      <c r="H51" s="776">
        <f t="shared" si="3"/>
        <v>1390514.681057455</v>
      </c>
    </row>
    <row r="52" spans="1:11" x14ac:dyDescent="0.3">
      <c r="A52" s="92">
        <v>21.1</v>
      </c>
      <c r="B52" s="94" t="s">
        <v>140</v>
      </c>
      <c r="C52" s="113"/>
      <c r="D52" s="113"/>
      <c r="E52" s="776">
        <f t="shared" si="2"/>
        <v>0</v>
      </c>
      <c r="F52" s="113"/>
      <c r="G52" s="113"/>
      <c r="H52" s="776">
        <f t="shared" si="3"/>
        <v>0</v>
      </c>
    </row>
    <row r="53" spans="1:11" x14ac:dyDescent="0.3">
      <c r="A53" s="92">
        <v>22</v>
      </c>
      <c r="B53" s="106" t="s">
        <v>141</v>
      </c>
      <c r="C53" s="113">
        <f>SUM(C38,C40,C41,C46,C47,C50,C51)</f>
        <v>142759280.39209652</v>
      </c>
      <c r="D53" s="113">
        <f>SUM(D38,D40,D41,D46,D47,D50,D51)</f>
        <v>30996650.644378312</v>
      </c>
      <c r="E53" s="776">
        <f t="shared" si="2"/>
        <v>173755931.03647482</v>
      </c>
      <c r="F53" s="113">
        <f>SUM(F38,F40,F41,F46,F47,F50,F51)</f>
        <v>121296809.37023798</v>
      </c>
      <c r="G53" s="113">
        <f>SUM(G38,G40,G41,G46,G47,G50,G51)</f>
        <v>32752695.329672199</v>
      </c>
      <c r="H53" s="776">
        <f t="shared" si="3"/>
        <v>154049504.69991016</v>
      </c>
    </row>
    <row r="54" spans="1:11" ht="24" customHeight="1" x14ac:dyDescent="0.3">
      <c r="A54" s="92"/>
      <c r="B54" s="107" t="s">
        <v>142</v>
      </c>
      <c r="C54" s="779"/>
      <c r="D54" s="780"/>
      <c r="E54" s="780"/>
      <c r="F54" s="780"/>
      <c r="G54" s="780"/>
      <c r="H54" s="781"/>
    </row>
    <row r="55" spans="1:11" x14ac:dyDescent="0.3">
      <c r="A55" s="92">
        <v>23</v>
      </c>
      <c r="B55" s="106" t="s">
        <v>143</v>
      </c>
      <c r="C55" s="114">
        <v>124746400</v>
      </c>
      <c r="D55" s="114"/>
      <c r="E55" s="776">
        <f>C55+D55</f>
        <v>124746400</v>
      </c>
      <c r="F55" s="113">
        <v>101746400</v>
      </c>
      <c r="G55" s="113"/>
      <c r="H55" s="776">
        <f>F55+G55</f>
        <v>101746400</v>
      </c>
      <c r="K55" s="112"/>
    </row>
    <row r="56" spans="1:11" x14ac:dyDescent="0.3">
      <c r="A56" s="92">
        <v>24</v>
      </c>
      <c r="B56" s="106" t="s">
        <v>144</v>
      </c>
      <c r="C56" s="113"/>
      <c r="D56" s="113"/>
      <c r="E56" s="776">
        <f t="shared" ref="E56:E69" si="4">C56+D56</f>
        <v>0</v>
      </c>
      <c r="F56" s="113"/>
      <c r="G56" s="113"/>
      <c r="H56" s="776">
        <f t="shared" ref="H56:H69" si="5">F56+G56</f>
        <v>0</v>
      </c>
    </row>
    <row r="57" spans="1:11" x14ac:dyDescent="0.3">
      <c r="A57" s="92">
        <v>25</v>
      </c>
      <c r="B57" s="106" t="s">
        <v>145</v>
      </c>
      <c r="C57" s="113"/>
      <c r="D57" s="113"/>
      <c r="E57" s="776">
        <f t="shared" si="4"/>
        <v>0</v>
      </c>
      <c r="F57" s="113"/>
      <c r="G57" s="113"/>
      <c r="H57" s="776">
        <f t="shared" si="5"/>
        <v>0</v>
      </c>
    </row>
    <row r="58" spans="1:11" x14ac:dyDescent="0.3">
      <c r="A58" s="92">
        <v>26</v>
      </c>
      <c r="B58" s="100" t="s">
        <v>146</v>
      </c>
      <c r="C58" s="113"/>
      <c r="D58" s="113"/>
      <c r="E58" s="776">
        <f t="shared" si="4"/>
        <v>0</v>
      </c>
      <c r="F58" s="113"/>
      <c r="G58" s="113"/>
      <c r="H58" s="776">
        <f t="shared" si="5"/>
        <v>0</v>
      </c>
    </row>
    <row r="59" spans="1:11" x14ac:dyDescent="0.3">
      <c r="A59" s="92">
        <v>27</v>
      </c>
      <c r="B59" s="100" t="s">
        <v>147</v>
      </c>
      <c r="C59" s="113">
        <f>SUM(C60:C61)</f>
        <v>0</v>
      </c>
      <c r="D59" s="113">
        <f>SUM(D60:D61)</f>
        <v>0</v>
      </c>
      <c r="E59" s="776">
        <f t="shared" si="4"/>
        <v>0</v>
      </c>
      <c r="F59" s="113">
        <v>0</v>
      </c>
      <c r="G59" s="113">
        <v>0</v>
      </c>
      <c r="H59" s="776">
        <f t="shared" si="5"/>
        <v>0</v>
      </c>
    </row>
    <row r="60" spans="1:11" x14ac:dyDescent="0.3">
      <c r="A60" s="92">
        <v>27.1</v>
      </c>
      <c r="B60" s="110" t="s">
        <v>148</v>
      </c>
      <c r="C60" s="113"/>
      <c r="D60" s="113"/>
      <c r="E60" s="776">
        <f t="shared" si="4"/>
        <v>0</v>
      </c>
      <c r="F60" s="113"/>
      <c r="G60" s="113"/>
      <c r="H60" s="776">
        <f t="shared" si="5"/>
        <v>0</v>
      </c>
    </row>
    <row r="61" spans="1:11" x14ac:dyDescent="0.3">
      <c r="A61" s="92">
        <v>27.2</v>
      </c>
      <c r="B61" s="109" t="s">
        <v>149</v>
      </c>
      <c r="C61" s="113"/>
      <c r="D61" s="113"/>
      <c r="E61" s="776">
        <f t="shared" si="4"/>
        <v>0</v>
      </c>
      <c r="F61" s="113"/>
      <c r="G61" s="113"/>
      <c r="H61" s="776">
        <f t="shared" si="5"/>
        <v>0</v>
      </c>
    </row>
    <row r="62" spans="1:11" x14ac:dyDescent="0.3">
      <c r="A62" s="92">
        <v>28</v>
      </c>
      <c r="B62" s="97" t="s">
        <v>150</v>
      </c>
      <c r="C62" s="113"/>
      <c r="D62" s="113"/>
      <c r="E62" s="776">
        <f t="shared" si="4"/>
        <v>0</v>
      </c>
      <c r="F62" s="113"/>
      <c r="G62" s="113"/>
      <c r="H62" s="776">
        <f t="shared" si="5"/>
        <v>0</v>
      </c>
    </row>
    <row r="63" spans="1:11" x14ac:dyDescent="0.3">
      <c r="A63" s="92">
        <v>29</v>
      </c>
      <c r="B63" s="100" t="s">
        <v>151</v>
      </c>
      <c r="C63" s="113">
        <f>SUM(C64:C66)</f>
        <v>3662377.0166368578</v>
      </c>
      <c r="D63" s="113">
        <f>SUM(D64:D66)</f>
        <v>0</v>
      </c>
      <c r="E63" s="776">
        <f t="shared" si="4"/>
        <v>3662377.0166368578</v>
      </c>
      <c r="F63" s="113">
        <f>F64+F65+F66</f>
        <v>3486012.7618743461</v>
      </c>
      <c r="G63" s="113"/>
      <c r="H63" s="776">
        <f t="shared" si="5"/>
        <v>3486012.7618743461</v>
      </c>
    </row>
    <row r="64" spans="1:11" x14ac:dyDescent="0.3">
      <c r="A64" s="92">
        <v>29.1</v>
      </c>
      <c r="B64" s="101" t="s">
        <v>152</v>
      </c>
      <c r="C64" s="114">
        <v>3662377.0166368578</v>
      </c>
      <c r="D64" s="113"/>
      <c r="E64" s="776">
        <f t="shared" si="4"/>
        <v>3662377.0166368578</v>
      </c>
      <c r="F64" s="113">
        <v>3486012.7618743461</v>
      </c>
      <c r="G64" s="113"/>
      <c r="H64" s="776">
        <f t="shared" si="5"/>
        <v>3486012.7618743461</v>
      </c>
    </row>
    <row r="65" spans="1:8" ht="25.2" customHeight="1" x14ac:dyDescent="0.3">
      <c r="A65" s="92">
        <v>29.2</v>
      </c>
      <c r="B65" s="110" t="s">
        <v>153</v>
      </c>
      <c r="C65" s="113"/>
      <c r="D65" s="113"/>
      <c r="E65" s="776">
        <f t="shared" si="4"/>
        <v>0</v>
      </c>
      <c r="F65" s="113"/>
      <c r="G65" s="113"/>
      <c r="H65" s="776">
        <f t="shared" si="5"/>
        <v>0</v>
      </c>
    </row>
    <row r="66" spans="1:8" ht="22.5" customHeight="1" x14ac:dyDescent="0.3">
      <c r="A66" s="92">
        <v>29.3</v>
      </c>
      <c r="B66" s="104" t="s">
        <v>154</v>
      </c>
      <c r="C66" s="113"/>
      <c r="D66" s="113"/>
      <c r="E66" s="776">
        <f t="shared" si="4"/>
        <v>0</v>
      </c>
      <c r="F66" s="113"/>
      <c r="G66" s="113"/>
      <c r="H66" s="776">
        <f t="shared" si="5"/>
        <v>0</v>
      </c>
    </row>
    <row r="67" spans="1:8" x14ac:dyDescent="0.3">
      <c r="A67" s="92">
        <v>30</v>
      </c>
      <c r="B67" s="100" t="s">
        <v>155</v>
      </c>
      <c r="C67" s="114">
        <v>-58793427.645682007</v>
      </c>
      <c r="D67" s="113"/>
      <c r="E67" s="776">
        <f t="shared" si="4"/>
        <v>-58793427.645682007</v>
      </c>
      <c r="F67" s="113">
        <v>-33434607.609855156</v>
      </c>
      <c r="G67" s="113"/>
      <c r="H67" s="776">
        <f t="shared" si="5"/>
        <v>-33434607.609855156</v>
      </c>
    </row>
    <row r="68" spans="1:8" x14ac:dyDescent="0.3">
      <c r="A68" s="92">
        <v>31</v>
      </c>
      <c r="B68" s="115" t="s">
        <v>156</v>
      </c>
      <c r="C68" s="113">
        <f>SUM(C55,C56,C57,C58,C59,C62,C63,C67)</f>
        <v>69615349.370954856</v>
      </c>
      <c r="D68" s="113">
        <f>SUM(D55,D56,D57,D58,D59,D62,D63,D67)</f>
        <v>0</v>
      </c>
      <c r="E68" s="776">
        <f t="shared" si="4"/>
        <v>69615349.370954856</v>
      </c>
      <c r="F68" s="113">
        <f>SUM(F55,F56,F57,F58,F59,F62,F63,F67)</f>
        <v>71797805.152019188</v>
      </c>
      <c r="G68" s="113">
        <f>SUM(G55,G56,G57,G58,G59,G62,G63,G67)</f>
        <v>0</v>
      </c>
      <c r="H68" s="776">
        <f t="shared" si="5"/>
        <v>71797805.152019188</v>
      </c>
    </row>
    <row r="69" spans="1:8" x14ac:dyDescent="0.3">
      <c r="A69" s="92">
        <v>32</v>
      </c>
      <c r="B69" s="116" t="s">
        <v>157</v>
      </c>
      <c r="C69" s="113">
        <f>SUM(C53,C68)</f>
        <v>212374629.76305139</v>
      </c>
      <c r="D69" s="113">
        <f>SUM(D53,D68)</f>
        <v>30996650.644378312</v>
      </c>
      <c r="E69" s="776">
        <f t="shared" si="4"/>
        <v>243371280.4074297</v>
      </c>
      <c r="F69" s="113">
        <f>SUM(F68,F53)</f>
        <v>193094614.52225715</v>
      </c>
      <c r="G69" s="113">
        <f>SUM(G68,G53)</f>
        <v>32752695.329672199</v>
      </c>
      <c r="H69" s="776">
        <f t="shared" si="5"/>
        <v>225847309.85192934</v>
      </c>
    </row>
    <row r="71" spans="1:8" x14ac:dyDescent="0.3">
      <c r="C71" s="785"/>
      <c r="D71" s="785"/>
      <c r="E71" s="786"/>
      <c r="F71" s="785"/>
      <c r="G71" s="785"/>
      <c r="H71" s="786"/>
    </row>
    <row r="72" spans="1:8" ht="25.2" customHeight="1" x14ac:dyDescent="0.3">
      <c r="B72" s="119" t="s">
        <v>158</v>
      </c>
    </row>
  </sheetData>
  <mergeCells count="5">
    <mergeCell ref="A4:A6"/>
    <mergeCell ref="B4:B5"/>
    <mergeCell ref="C4:E4"/>
    <mergeCell ref="F4:H4"/>
    <mergeCell ref="C6:H6"/>
  </mergeCells>
  <conditionalFormatting sqref="B71">
    <cfRule type="duplicateValues" dxfId="30" priority="1"/>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0ECFD-E247-48BE-B068-A5C6F1D77E94}">
  <sheetPr>
    <tabColor theme="2" tint="-9.9978637043366805E-2"/>
  </sheetPr>
  <dimension ref="A1:L33"/>
  <sheetViews>
    <sheetView showGridLines="0" topLeftCell="C6" zoomScaleNormal="100" workbookViewId="0">
      <selection activeCell="C7" sqref="C7:L33"/>
    </sheetView>
  </sheetViews>
  <sheetFormatPr defaultColWidth="9.33203125" defaultRowHeight="12" x14ac:dyDescent="0.25"/>
  <cols>
    <col min="1" max="1" width="11.6640625" style="565" bestFit="1" customWidth="1"/>
    <col min="2" max="2" width="93.44140625" style="565" customWidth="1"/>
    <col min="3" max="3" width="14.6640625" style="565" customWidth="1"/>
    <col min="4" max="5" width="16.109375" style="565" customWidth="1"/>
    <col min="6" max="6" width="16.109375" style="608" customWidth="1"/>
    <col min="7" max="7" width="25.33203125" style="608" customWidth="1"/>
    <col min="8" max="8" width="16.109375" style="565" customWidth="1"/>
    <col min="9" max="11" width="16.109375" style="608" customWidth="1"/>
    <col min="12" max="12" width="26.33203125" style="608" customWidth="1"/>
    <col min="13" max="16384" width="9.33203125" style="565"/>
  </cols>
  <sheetData>
    <row r="1" spans="1:12" ht="13.8" x14ac:dyDescent="0.3">
      <c r="A1" s="547" t="s">
        <v>44</v>
      </c>
      <c r="B1" s="20" t="str">
        <f>Info!C2</f>
        <v>სს სილქ ბანკი</v>
      </c>
      <c r="F1" s="565"/>
      <c r="G1" s="565"/>
      <c r="I1" s="565"/>
      <c r="J1" s="565"/>
      <c r="K1" s="565"/>
      <c r="L1" s="565"/>
    </row>
    <row r="2" spans="1:12" x14ac:dyDescent="0.25">
      <c r="A2" s="547" t="s">
        <v>45</v>
      </c>
      <c r="B2" s="590">
        <f>'1. key ratios'!B2</f>
        <v>46112</v>
      </c>
      <c r="F2" s="565"/>
      <c r="G2" s="565"/>
      <c r="I2" s="565"/>
      <c r="J2" s="565"/>
      <c r="K2" s="565"/>
      <c r="L2" s="565"/>
    </row>
    <row r="3" spans="1:12" x14ac:dyDescent="0.25">
      <c r="A3" s="550" t="s">
        <v>736</v>
      </c>
      <c r="F3" s="565"/>
      <c r="G3" s="565"/>
      <c r="I3" s="565"/>
      <c r="J3" s="565"/>
      <c r="K3" s="565"/>
      <c r="L3" s="565"/>
    </row>
    <row r="4" spans="1:12" x14ac:dyDescent="0.25">
      <c r="F4" s="565"/>
      <c r="G4" s="565"/>
      <c r="I4" s="565"/>
      <c r="J4" s="565"/>
      <c r="K4" s="565"/>
      <c r="L4" s="565"/>
    </row>
    <row r="5" spans="1:12" ht="37.5" customHeight="1" x14ac:dyDescent="0.25">
      <c r="A5" s="857" t="s">
        <v>737</v>
      </c>
      <c r="B5" s="858"/>
      <c r="C5" s="906" t="s">
        <v>617</v>
      </c>
      <c r="D5" s="907"/>
      <c r="E5" s="907"/>
      <c r="F5" s="907"/>
      <c r="G5" s="907"/>
      <c r="H5" s="906" t="s">
        <v>738</v>
      </c>
      <c r="I5" s="908"/>
      <c r="J5" s="908"/>
      <c r="K5" s="908"/>
      <c r="L5" s="909"/>
    </row>
    <row r="6" spans="1:12" ht="39.450000000000003" customHeight="1" x14ac:dyDescent="0.25">
      <c r="A6" s="861"/>
      <c r="B6" s="862"/>
      <c r="C6" s="651"/>
      <c r="D6" s="569" t="s">
        <v>687</v>
      </c>
      <c r="E6" s="569" t="s">
        <v>688</v>
      </c>
      <c r="F6" s="569" t="s">
        <v>689</v>
      </c>
      <c r="G6" s="569" t="s">
        <v>690</v>
      </c>
      <c r="H6" s="570"/>
      <c r="I6" s="569" t="s">
        <v>687</v>
      </c>
      <c r="J6" s="569" t="s">
        <v>688</v>
      </c>
      <c r="K6" s="569" t="s">
        <v>689</v>
      </c>
      <c r="L6" s="569" t="s">
        <v>690</v>
      </c>
    </row>
    <row r="7" spans="1:12" x14ac:dyDescent="0.25">
      <c r="A7" s="574">
        <v>1</v>
      </c>
      <c r="B7" s="592" t="s">
        <v>629</v>
      </c>
      <c r="C7" s="652">
        <v>9126810.6552652176</v>
      </c>
      <c r="D7" s="572">
        <v>8756971.580053933</v>
      </c>
      <c r="E7" s="572">
        <v>153125.29297962863</v>
      </c>
      <c r="F7" s="572">
        <v>216713.78223165506</v>
      </c>
      <c r="G7" s="572">
        <v>0</v>
      </c>
      <c r="H7" s="572">
        <v>336696.21834528085</v>
      </c>
      <c r="I7" s="572">
        <v>119873.25705606335</v>
      </c>
      <c r="J7" s="572">
        <v>51309.077299940596</v>
      </c>
      <c r="K7" s="572">
        <v>165513.88398927558</v>
      </c>
      <c r="L7" s="572">
        <v>0</v>
      </c>
    </row>
    <row r="8" spans="1:12" x14ac:dyDescent="0.25">
      <c r="A8" s="574">
        <v>2</v>
      </c>
      <c r="B8" s="592" t="s">
        <v>630</v>
      </c>
      <c r="C8" s="652">
        <v>8518594.0154121313</v>
      </c>
      <c r="D8" s="572">
        <v>8313042.9568671724</v>
      </c>
      <c r="E8" s="572">
        <v>55171.613122655574</v>
      </c>
      <c r="F8" s="572">
        <v>150379.44542231169</v>
      </c>
      <c r="G8" s="572">
        <v>0</v>
      </c>
      <c r="H8" s="572">
        <v>208504.16447315706</v>
      </c>
      <c r="I8" s="572">
        <v>81248.508845376287</v>
      </c>
      <c r="J8" s="572">
        <v>14790.782147586435</v>
      </c>
      <c r="K8" s="572">
        <v>112464.87348019499</v>
      </c>
      <c r="L8" s="572">
        <v>0</v>
      </c>
    </row>
    <row r="9" spans="1:12" x14ac:dyDescent="0.25">
      <c r="A9" s="574">
        <v>3</v>
      </c>
      <c r="B9" s="592" t="s">
        <v>631</v>
      </c>
      <c r="C9" s="652">
        <v>176512.32466733822</v>
      </c>
      <c r="D9" s="572">
        <v>121593.71903522342</v>
      </c>
      <c r="E9" s="572">
        <v>0</v>
      </c>
      <c r="F9" s="572">
        <v>54918.605632114821</v>
      </c>
      <c r="G9" s="572">
        <v>0</v>
      </c>
      <c r="H9" s="572">
        <v>54279.040137755925</v>
      </c>
      <c r="I9" s="572">
        <v>1767.4099777759609</v>
      </c>
      <c r="J9" s="572">
        <v>0</v>
      </c>
      <c r="K9" s="572">
        <v>52511.630159979955</v>
      </c>
      <c r="L9" s="572">
        <v>0</v>
      </c>
    </row>
    <row r="10" spans="1:12" x14ac:dyDescent="0.25">
      <c r="A10" s="574">
        <v>4</v>
      </c>
      <c r="B10" s="592" t="s">
        <v>632</v>
      </c>
      <c r="C10" s="652">
        <v>2221799.0402464936</v>
      </c>
      <c r="D10" s="572">
        <v>1665590.8828942843</v>
      </c>
      <c r="E10" s="572">
        <v>547034.80571062362</v>
      </c>
      <c r="F10" s="572">
        <v>9173.3516415868671</v>
      </c>
      <c r="G10" s="572">
        <v>0</v>
      </c>
      <c r="H10" s="572">
        <v>36101.682598474341</v>
      </c>
      <c r="I10" s="572">
        <v>22828.257457976259</v>
      </c>
      <c r="J10" s="572">
        <v>6412.9141919231097</v>
      </c>
      <c r="K10" s="572">
        <v>6860.5109485750008</v>
      </c>
      <c r="L10" s="572">
        <v>0</v>
      </c>
    </row>
    <row r="11" spans="1:12" x14ac:dyDescent="0.25">
      <c r="A11" s="574">
        <v>5</v>
      </c>
      <c r="B11" s="592" t="s">
        <v>633</v>
      </c>
      <c r="C11" s="652">
        <v>6093472.2571728639</v>
      </c>
      <c r="D11" s="572">
        <v>5074140.6467706216</v>
      </c>
      <c r="E11" s="572">
        <v>3133.5693657596612</v>
      </c>
      <c r="F11" s="572">
        <v>1016198.0410364827</v>
      </c>
      <c r="G11" s="572">
        <v>0</v>
      </c>
      <c r="H11" s="572">
        <v>522351.92477127974</v>
      </c>
      <c r="I11" s="572">
        <v>51286.980842498844</v>
      </c>
      <c r="J11" s="572">
        <v>1631.4946961927317</v>
      </c>
      <c r="K11" s="572">
        <v>469433.44923258765</v>
      </c>
      <c r="L11" s="572">
        <v>0</v>
      </c>
    </row>
    <row r="12" spans="1:12" x14ac:dyDescent="0.25">
      <c r="A12" s="574">
        <v>6</v>
      </c>
      <c r="B12" s="592" t="s">
        <v>634</v>
      </c>
      <c r="C12" s="652">
        <v>7667329.8442986319</v>
      </c>
      <c r="D12" s="572">
        <v>4828233.0852052215</v>
      </c>
      <c r="E12" s="572">
        <v>211146.04957626859</v>
      </c>
      <c r="F12" s="572">
        <v>2627950.7095171427</v>
      </c>
      <c r="G12" s="572">
        <v>0</v>
      </c>
      <c r="H12" s="572">
        <v>769531.77798252145</v>
      </c>
      <c r="I12" s="572">
        <v>82024.84144189459</v>
      </c>
      <c r="J12" s="572">
        <v>95724.565607932163</v>
      </c>
      <c r="K12" s="572">
        <v>591782.37093269487</v>
      </c>
      <c r="L12" s="572">
        <v>0</v>
      </c>
    </row>
    <row r="13" spans="1:12" x14ac:dyDescent="0.25">
      <c r="A13" s="574">
        <v>7</v>
      </c>
      <c r="B13" s="592" t="s">
        <v>636</v>
      </c>
      <c r="C13" s="652">
        <v>1345023.7119518761</v>
      </c>
      <c r="D13" s="572">
        <v>1242397.7481329963</v>
      </c>
      <c r="E13" s="572">
        <v>25153.203714788942</v>
      </c>
      <c r="F13" s="572">
        <v>77472.760104091183</v>
      </c>
      <c r="G13" s="572">
        <v>0</v>
      </c>
      <c r="H13" s="572">
        <v>91095.242390643223</v>
      </c>
      <c r="I13" s="572">
        <v>22438.325873376216</v>
      </c>
      <c r="J13" s="572">
        <v>10717.055528955598</v>
      </c>
      <c r="K13" s="572">
        <v>57939.860988311477</v>
      </c>
      <c r="L13" s="572">
        <v>0</v>
      </c>
    </row>
    <row r="14" spans="1:12" x14ac:dyDescent="0.25">
      <c r="A14" s="574">
        <v>8</v>
      </c>
      <c r="B14" s="592" t="s">
        <v>637</v>
      </c>
      <c r="C14" s="652">
        <v>3219252.6641233629</v>
      </c>
      <c r="D14" s="572">
        <v>3106928.4122583424</v>
      </c>
      <c r="E14" s="572">
        <v>33993.033072563347</v>
      </c>
      <c r="F14" s="572">
        <v>78331.218792454965</v>
      </c>
      <c r="G14" s="572">
        <v>0</v>
      </c>
      <c r="H14" s="572">
        <v>117592.28441545856</v>
      </c>
      <c r="I14" s="572">
        <v>46933.497736808451</v>
      </c>
      <c r="J14" s="572">
        <v>12076.906779418663</v>
      </c>
      <c r="K14" s="572">
        <v>58581.879899231608</v>
      </c>
      <c r="L14" s="572">
        <v>0</v>
      </c>
    </row>
    <row r="15" spans="1:12" x14ac:dyDescent="0.25">
      <c r="A15" s="574">
        <v>9</v>
      </c>
      <c r="B15" s="592" t="s">
        <v>638</v>
      </c>
      <c r="C15" s="652">
        <v>1014451.7669987484</v>
      </c>
      <c r="D15" s="572">
        <v>992391.72264321474</v>
      </c>
      <c r="E15" s="572">
        <v>16653.2223007393</v>
      </c>
      <c r="F15" s="572">
        <v>5406.8220547945211</v>
      </c>
      <c r="G15" s="572">
        <v>0</v>
      </c>
      <c r="H15" s="572">
        <v>28168.637865967794</v>
      </c>
      <c r="I15" s="572">
        <v>16081.314478027616</v>
      </c>
      <c r="J15" s="572">
        <v>8043.7018902366717</v>
      </c>
      <c r="K15" s="572">
        <v>4043.6214977035261</v>
      </c>
      <c r="L15" s="572">
        <v>0</v>
      </c>
    </row>
    <row r="16" spans="1:12" x14ac:dyDescent="0.25">
      <c r="A16" s="574">
        <v>10</v>
      </c>
      <c r="B16" s="592" t="s">
        <v>639</v>
      </c>
      <c r="C16" s="652">
        <v>645922.63626887533</v>
      </c>
      <c r="D16" s="572">
        <v>628963.62118119362</v>
      </c>
      <c r="E16" s="572">
        <v>4952.3094391244867</v>
      </c>
      <c r="F16" s="572">
        <v>12006.705648557236</v>
      </c>
      <c r="G16" s="572">
        <v>0</v>
      </c>
      <c r="H16" s="572">
        <v>19397.134438677123</v>
      </c>
      <c r="I16" s="572">
        <v>7707.1648076362135</v>
      </c>
      <c r="J16" s="572">
        <v>2710.4669610663987</v>
      </c>
      <c r="K16" s="572">
        <v>8979.5026699744994</v>
      </c>
      <c r="L16" s="572">
        <v>0</v>
      </c>
    </row>
    <row r="17" spans="1:12" x14ac:dyDescent="0.25">
      <c r="A17" s="574">
        <v>11</v>
      </c>
      <c r="B17" s="592" t="s">
        <v>640</v>
      </c>
      <c r="C17" s="652">
        <v>1800545.4388811509</v>
      </c>
      <c r="D17" s="572">
        <v>1751455.1003455182</v>
      </c>
      <c r="E17" s="572">
        <v>14135.422691084783</v>
      </c>
      <c r="F17" s="572">
        <v>34954.915844548908</v>
      </c>
      <c r="G17" s="572">
        <v>0</v>
      </c>
      <c r="H17" s="572">
        <v>72206.906045093841</v>
      </c>
      <c r="I17" s="572">
        <v>38544.966276031621</v>
      </c>
      <c r="J17" s="572">
        <v>7520.0679399166465</v>
      </c>
      <c r="K17" s="572">
        <v>26141.871829145522</v>
      </c>
      <c r="L17" s="572">
        <v>0</v>
      </c>
    </row>
    <row r="18" spans="1:12" x14ac:dyDescent="0.25">
      <c r="A18" s="574">
        <v>12</v>
      </c>
      <c r="B18" s="592" t="s">
        <v>641</v>
      </c>
      <c r="C18" s="652">
        <v>14500371.325637462</v>
      </c>
      <c r="D18" s="572">
        <v>12512364.582611443</v>
      </c>
      <c r="E18" s="572">
        <v>243355.57097976687</v>
      </c>
      <c r="F18" s="572">
        <v>1744651.1720462432</v>
      </c>
      <c r="G18" s="572">
        <v>0</v>
      </c>
      <c r="H18" s="572">
        <v>494808.31939083082</v>
      </c>
      <c r="I18" s="572">
        <v>201080.86679253782</v>
      </c>
      <c r="J18" s="572">
        <v>64960.426074780051</v>
      </c>
      <c r="K18" s="572">
        <v>228767.02652351267</v>
      </c>
      <c r="L18" s="572">
        <v>0</v>
      </c>
    </row>
    <row r="19" spans="1:12" x14ac:dyDescent="0.25">
      <c r="A19" s="574">
        <v>13</v>
      </c>
      <c r="B19" s="592" t="s">
        <v>642</v>
      </c>
      <c r="C19" s="652">
        <v>2289514.0381931369</v>
      </c>
      <c r="D19" s="572">
        <v>2096828.8322245572</v>
      </c>
      <c r="E19" s="572">
        <v>77575.810898268013</v>
      </c>
      <c r="F19" s="572">
        <v>115109.39507031154</v>
      </c>
      <c r="G19" s="572">
        <v>0</v>
      </c>
      <c r="H19" s="572">
        <v>140912.83079090682</v>
      </c>
      <c r="I19" s="572">
        <v>31599.602690870124</v>
      </c>
      <c r="J19" s="572">
        <v>23225.907345470594</v>
      </c>
      <c r="K19" s="572">
        <v>86087.320754566492</v>
      </c>
      <c r="L19" s="572">
        <v>0</v>
      </c>
    </row>
    <row r="20" spans="1:12" x14ac:dyDescent="0.25">
      <c r="A20" s="574">
        <v>14</v>
      </c>
      <c r="B20" s="592" t="s">
        <v>643</v>
      </c>
      <c r="C20" s="652">
        <v>7192553.4719188809</v>
      </c>
      <c r="D20" s="572">
        <v>5319981.4925806019</v>
      </c>
      <c r="E20" s="572">
        <v>1737795.5374310277</v>
      </c>
      <c r="F20" s="572">
        <v>134776.44190725274</v>
      </c>
      <c r="G20" s="572">
        <v>0</v>
      </c>
      <c r="H20" s="572">
        <v>229548.84935569772</v>
      </c>
      <c r="I20" s="572">
        <v>65798.39048203241</v>
      </c>
      <c r="J20" s="572">
        <v>57961.459614655781</v>
      </c>
      <c r="K20" s="572">
        <v>105788.99925900954</v>
      </c>
      <c r="L20" s="572">
        <v>0</v>
      </c>
    </row>
    <row r="21" spans="1:12" x14ac:dyDescent="0.25">
      <c r="A21" s="574">
        <v>15</v>
      </c>
      <c r="B21" s="592" t="s">
        <v>644</v>
      </c>
      <c r="C21" s="652">
        <v>4439591.218593521</v>
      </c>
      <c r="D21" s="572">
        <v>4021536.1147926566</v>
      </c>
      <c r="E21" s="572">
        <v>149089.79738502525</v>
      </c>
      <c r="F21" s="572">
        <v>268965.30641583644</v>
      </c>
      <c r="G21" s="572">
        <v>0</v>
      </c>
      <c r="H21" s="572">
        <v>331420.30140983639</v>
      </c>
      <c r="I21" s="572">
        <v>75303.424948738757</v>
      </c>
      <c r="J21" s="572">
        <v>51123.392220877169</v>
      </c>
      <c r="K21" s="572">
        <v>204993.48424022036</v>
      </c>
      <c r="L21" s="572">
        <v>0</v>
      </c>
    </row>
    <row r="22" spans="1:12" x14ac:dyDescent="0.25">
      <c r="A22" s="574">
        <v>16</v>
      </c>
      <c r="B22" s="592" t="s">
        <v>645</v>
      </c>
      <c r="C22" s="652">
        <v>2018087.000664525</v>
      </c>
      <c r="D22" s="572">
        <v>1994779.0239432133</v>
      </c>
      <c r="E22" s="572">
        <v>20621.870000000003</v>
      </c>
      <c r="F22" s="572">
        <v>2686.1067213114752</v>
      </c>
      <c r="G22" s="572">
        <v>0</v>
      </c>
      <c r="H22" s="572">
        <v>35731.685161005946</v>
      </c>
      <c r="I22" s="572">
        <v>27536.254852316684</v>
      </c>
      <c r="J22" s="572">
        <v>6186.5610000000006</v>
      </c>
      <c r="K22" s="572">
        <v>2008.869308689279</v>
      </c>
      <c r="L22" s="572">
        <v>0</v>
      </c>
    </row>
    <row r="23" spans="1:12" x14ac:dyDescent="0.25">
      <c r="A23" s="574">
        <v>17</v>
      </c>
      <c r="B23" s="592" t="s">
        <v>646</v>
      </c>
      <c r="C23" s="652">
        <v>395865.61257905292</v>
      </c>
      <c r="D23" s="572">
        <v>386000.81922833377</v>
      </c>
      <c r="E23" s="572">
        <v>2366.9899999999998</v>
      </c>
      <c r="F23" s="572">
        <v>7497.8033507191058</v>
      </c>
      <c r="G23" s="572">
        <v>0</v>
      </c>
      <c r="H23" s="572">
        <v>13147.306711026848</v>
      </c>
      <c r="I23" s="572">
        <v>6405.9377537446799</v>
      </c>
      <c r="J23" s="572">
        <v>1133.9569678980413</v>
      </c>
      <c r="K23" s="572">
        <v>5607.4119893841244</v>
      </c>
      <c r="L23" s="572">
        <v>0</v>
      </c>
    </row>
    <row r="24" spans="1:12" x14ac:dyDescent="0.25">
      <c r="A24" s="574">
        <v>18</v>
      </c>
      <c r="B24" s="592" t="s">
        <v>647</v>
      </c>
      <c r="C24" s="652">
        <v>957110.27918280533</v>
      </c>
      <c r="D24" s="572">
        <v>740005.03849479405</v>
      </c>
      <c r="E24" s="572">
        <v>145084.79856519311</v>
      </c>
      <c r="F24" s="572">
        <v>72020.442122817913</v>
      </c>
      <c r="G24" s="572">
        <v>0</v>
      </c>
      <c r="H24" s="572">
        <v>103237.32114802442</v>
      </c>
      <c r="I24" s="572">
        <v>10555.543174268259</v>
      </c>
      <c r="J24" s="572">
        <v>38819.563702491978</v>
      </c>
      <c r="K24" s="572">
        <v>53862.214271264143</v>
      </c>
      <c r="L24" s="572">
        <v>0</v>
      </c>
    </row>
    <row r="25" spans="1:12" x14ac:dyDescent="0.25">
      <c r="A25" s="574">
        <v>19</v>
      </c>
      <c r="B25" s="592" t="s">
        <v>648</v>
      </c>
      <c r="C25" s="652">
        <v>1228739.8430657117</v>
      </c>
      <c r="D25" s="572">
        <v>1165866.8215919293</v>
      </c>
      <c r="E25" s="572">
        <v>33033.129360811843</v>
      </c>
      <c r="F25" s="572">
        <v>29839.892112970618</v>
      </c>
      <c r="G25" s="572">
        <v>0</v>
      </c>
      <c r="H25" s="572">
        <v>55652.410072475308</v>
      </c>
      <c r="I25" s="572">
        <v>18070.303136150869</v>
      </c>
      <c r="J25" s="572">
        <v>11984.714780269636</v>
      </c>
      <c r="K25" s="572">
        <v>25597.392156054815</v>
      </c>
      <c r="L25" s="572">
        <v>0</v>
      </c>
    </row>
    <row r="26" spans="1:12" x14ac:dyDescent="0.25">
      <c r="A26" s="574">
        <v>20</v>
      </c>
      <c r="B26" s="592" t="s">
        <v>649</v>
      </c>
      <c r="C26" s="652">
        <v>3282270.9961618157</v>
      </c>
      <c r="D26" s="572">
        <v>3253877.4251323864</v>
      </c>
      <c r="E26" s="572">
        <v>5920.4465498439577</v>
      </c>
      <c r="F26" s="572">
        <v>22473.124479585556</v>
      </c>
      <c r="G26" s="572">
        <v>0</v>
      </c>
      <c r="H26" s="572">
        <v>61573.07469685479</v>
      </c>
      <c r="I26" s="572">
        <v>42290.195791581202</v>
      </c>
      <c r="J26" s="572">
        <v>2475.8139888985975</v>
      </c>
      <c r="K26" s="572">
        <v>16807.064916374991</v>
      </c>
      <c r="L26" s="572">
        <v>0</v>
      </c>
    </row>
    <row r="27" spans="1:12" x14ac:dyDescent="0.25">
      <c r="A27" s="574">
        <v>21</v>
      </c>
      <c r="B27" s="592" t="s">
        <v>650</v>
      </c>
      <c r="C27" s="652">
        <v>825462.73632785503</v>
      </c>
      <c r="D27" s="572">
        <v>774396.06940351822</v>
      </c>
      <c r="E27" s="572">
        <v>47801.674515577724</v>
      </c>
      <c r="F27" s="572">
        <v>3264.9924087591235</v>
      </c>
      <c r="G27" s="572">
        <v>0</v>
      </c>
      <c r="H27" s="572">
        <v>26019.303336178502</v>
      </c>
      <c r="I27" s="572">
        <v>11309.052087246018</v>
      </c>
      <c r="J27" s="572">
        <v>12268.448400586485</v>
      </c>
      <c r="K27" s="572">
        <v>2441.8028483459962</v>
      </c>
      <c r="L27" s="572">
        <v>0</v>
      </c>
    </row>
    <row r="28" spans="1:12" x14ac:dyDescent="0.25">
      <c r="A28" s="574">
        <v>22</v>
      </c>
      <c r="B28" s="592" t="s">
        <v>651</v>
      </c>
      <c r="C28" s="652">
        <v>2693387.1709583509</v>
      </c>
      <c r="D28" s="572">
        <v>2648966.9855857859</v>
      </c>
      <c r="E28" s="572">
        <v>10184.993821760005</v>
      </c>
      <c r="F28" s="572">
        <v>34235.191550804804</v>
      </c>
      <c r="G28" s="572">
        <v>0</v>
      </c>
      <c r="H28" s="572">
        <v>77777.171523708399</v>
      </c>
      <c r="I28" s="572">
        <v>46888.374865466205</v>
      </c>
      <c r="J28" s="572">
        <v>4259.1635560705836</v>
      </c>
      <c r="K28" s="572">
        <v>26629.633102171792</v>
      </c>
      <c r="L28" s="572">
        <v>0</v>
      </c>
    </row>
    <row r="29" spans="1:12" x14ac:dyDescent="0.25">
      <c r="A29" s="574">
        <v>23</v>
      </c>
      <c r="B29" s="592" t="s">
        <v>652</v>
      </c>
      <c r="C29" s="652">
        <v>30876133.865407668</v>
      </c>
      <c r="D29" s="572">
        <v>28618500.993246704</v>
      </c>
      <c r="E29" s="572">
        <v>1468004.6727002361</v>
      </c>
      <c r="F29" s="572">
        <v>789628.1994607395</v>
      </c>
      <c r="G29" s="572">
        <v>0</v>
      </c>
      <c r="H29" s="572">
        <v>1430373.1097506026</v>
      </c>
      <c r="I29" s="572">
        <v>446461.4189404574</v>
      </c>
      <c r="J29" s="572">
        <v>368087.88039216865</v>
      </c>
      <c r="K29" s="572">
        <v>615823.81041797821</v>
      </c>
      <c r="L29" s="572">
        <v>0</v>
      </c>
    </row>
    <row r="30" spans="1:12" x14ac:dyDescent="0.25">
      <c r="A30" s="574">
        <v>24</v>
      </c>
      <c r="B30" s="592" t="s">
        <v>653</v>
      </c>
      <c r="C30" s="652">
        <v>2504025.2466176366</v>
      </c>
      <c r="D30" s="572">
        <v>1245650.9375442006</v>
      </c>
      <c r="E30" s="572">
        <v>1149033.4515432077</v>
      </c>
      <c r="F30" s="572">
        <v>109340.85753022954</v>
      </c>
      <c r="G30" s="572">
        <v>0</v>
      </c>
      <c r="H30" s="572">
        <v>175682.28724663644</v>
      </c>
      <c r="I30" s="572">
        <v>26056.385949433425</v>
      </c>
      <c r="J30" s="572">
        <v>105009.90570842706</v>
      </c>
      <c r="K30" s="572">
        <v>44615.99558877587</v>
      </c>
      <c r="L30" s="572">
        <v>0</v>
      </c>
    </row>
    <row r="31" spans="1:12" x14ac:dyDescent="0.25">
      <c r="A31" s="574">
        <v>25</v>
      </c>
      <c r="B31" s="592" t="s">
        <v>217</v>
      </c>
      <c r="C31" s="653">
        <v>25349470.575817656</v>
      </c>
      <c r="D31" s="572">
        <v>22743843.118144948</v>
      </c>
      <c r="E31" s="574">
        <v>1590777.0802847166</v>
      </c>
      <c r="F31" s="574">
        <v>1014850.3773880471</v>
      </c>
      <c r="G31" s="572">
        <v>0</v>
      </c>
      <c r="H31" s="574">
        <v>1395840.4134374333</v>
      </c>
      <c r="I31" s="572">
        <v>341501.00093307556</v>
      </c>
      <c r="J31" s="572">
        <v>311260.98623470514</v>
      </c>
      <c r="K31" s="572">
        <v>743078.42626964918</v>
      </c>
      <c r="L31" s="572">
        <v>0</v>
      </c>
    </row>
    <row r="32" spans="1:12" x14ac:dyDescent="0.25">
      <c r="A32" s="574">
        <v>26</v>
      </c>
      <c r="B32" s="592" t="s">
        <v>739</v>
      </c>
      <c r="C32" s="652">
        <v>0</v>
      </c>
      <c r="D32" s="572">
        <v>0</v>
      </c>
      <c r="E32" s="572">
        <v>0</v>
      </c>
      <c r="F32" s="572">
        <v>0</v>
      </c>
      <c r="G32" s="572">
        <v>0</v>
      </c>
      <c r="H32" s="652">
        <v>0</v>
      </c>
      <c r="I32" s="652">
        <v>0</v>
      </c>
      <c r="J32" s="652">
        <v>0</v>
      </c>
      <c r="K32" s="652">
        <v>0</v>
      </c>
      <c r="L32" s="572">
        <v>0</v>
      </c>
    </row>
    <row r="33" spans="1:12" x14ac:dyDescent="0.25">
      <c r="A33" s="574">
        <v>27</v>
      </c>
      <c r="B33" s="654" t="s">
        <v>96</v>
      </c>
      <c r="C33" s="655">
        <f>SUM(C7:C32)</f>
        <v>140382297.73641276</v>
      </c>
      <c r="D33" s="655">
        <f t="shared" ref="D33:L33" si="0">SUM(D7:D32)</f>
        <v>124004307.72991277</v>
      </c>
      <c r="E33" s="655">
        <f t="shared" si="0"/>
        <v>7745144.3460086714</v>
      </c>
      <c r="F33" s="655">
        <f t="shared" si="0"/>
        <v>8632845.6604913697</v>
      </c>
      <c r="G33" s="655">
        <f t="shared" si="0"/>
        <v>0</v>
      </c>
      <c r="H33" s="655">
        <f t="shared" si="0"/>
        <v>6827649.3974955278</v>
      </c>
      <c r="I33" s="655">
        <f t="shared" si="0"/>
        <v>1841591.2771913845</v>
      </c>
      <c r="J33" s="655">
        <f>SUM(J7:J32)</f>
        <v>1269695.2130304689</v>
      </c>
      <c r="K33" s="655">
        <f t="shared" si="0"/>
        <v>3716362.9072736716</v>
      </c>
      <c r="L33" s="655">
        <f t="shared" si="0"/>
        <v>0</v>
      </c>
    </row>
  </sheetData>
  <mergeCells count="3">
    <mergeCell ref="A5:B6"/>
    <mergeCell ref="C5:G5"/>
    <mergeCell ref="H5:L5"/>
  </mergeCells>
  <conditionalFormatting sqref="A5">
    <cfRule type="duplicateValues" dxfId="13" priority="2"/>
    <cfRule type="duplicateValues" dxfId="12" priority="3"/>
    <cfRule type="duplicateValues" dxfId="11" priority="4"/>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908B-2FCE-4DD0-AF3A-0829C0538A55}">
  <sheetPr>
    <tabColor theme="2" tint="-9.9978637043366805E-2"/>
  </sheetPr>
  <dimension ref="A1:M13"/>
  <sheetViews>
    <sheetView showGridLines="0" topLeftCell="C1" zoomScale="80" zoomScaleNormal="80" workbookViewId="0">
      <selection activeCell="C6" sqref="C6:K11"/>
    </sheetView>
  </sheetViews>
  <sheetFormatPr defaultColWidth="8.6640625" defaultRowHeight="12" x14ac:dyDescent="0.25"/>
  <cols>
    <col min="1" max="1" width="11.6640625" style="658" bestFit="1" customWidth="1"/>
    <col min="2" max="2" width="165.109375" style="658" customWidth="1"/>
    <col min="3" max="11" width="28.33203125" style="658" customWidth="1"/>
    <col min="12" max="16384" width="8.6640625" style="658"/>
  </cols>
  <sheetData>
    <row r="1" spans="1:13" s="548" customFormat="1" ht="13.8" x14ac:dyDescent="0.3">
      <c r="A1" s="547" t="s">
        <v>44</v>
      </c>
      <c r="B1" s="20" t="str">
        <f>Info!C2</f>
        <v>სს სილქ ბანკი</v>
      </c>
      <c r="C1" s="565"/>
      <c r="D1" s="565"/>
      <c r="E1" s="565"/>
      <c r="F1" s="565"/>
      <c r="G1" s="565"/>
      <c r="H1" s="565"/>
      <c r="I1" s="565"/>
      <c r="J1" s="565"/>
      <c r="K1" s="565"/>
    </row>
    <row r="2" spans="1:13" s="548" customFormat="1" x14ac:dyDescent="0.25">
      <c r="A2" s="547" t="s">
        <v>45</v>
      </c>
      <c r="B2" s="590">
        <f>'1. key ratios'!B2</f>
        <v>46112</v>
      </c>
      <c r="C2" s="565"/>
      <c r="D2" s="565"/>
      <c r="E2" s="565"/>
      <c r="F2" s="565"/>
      <c r="G2" s="565"/>
      <c r="H2" s="565"/>
      <c r="I2" s="565"/>
      <c r="J2" s="565"/>
      <c r="K2" s="565"/>
    </row>
    <row r="3" spans="1:13" s="548" customFormat="1" x14ac:dyDescent="0.25">
      <c r="A3" s="550" t="s">
        <v>740</v>
      </c>
      <c r="B3" s="565"/>
      <c r="C3" s="565"/>
      <c r="D3" s="565"/>
      <c r="E3" s="565"/>
      <c r="F3" s="565"/>
      <c r="G3" s="565"/>
      <c r="H3" s="565"/>
      <c r="I3" s="565"/>
      <c r="J3" s="565"/>
      <c r="K3" s="565"/>
    </row>
    <row r="4" spans="1:13" x14ac:dyDescent="0.25">
      <c r="A4" s="656"/>
      <c r="B4" s="656"/>
      <c r="C4" s="657" t="s">
        <v>610</v>
      </c>
      <c r="D4" s="657" t="s">
        <v>611</v>
      </c>
      <c r="E4" s="657" t="s">
        <v>612</v>
      </c>
      <c r="F4" s="657" t="s">
        <v>613</v>
      </c>
      <c r="G4" s="657" t="s">
        <v>614</v>
      </c>
      <c r="H4" s="657" t="s">
        <v>615</v>
      </c>
      <c r="I4" s="657" t="s">
        <v>741</v>
      </c>
      <c r="J4" s="657" t="s">
        <v>742</v>
      </c>
      <c r="K4" s="657" t="s">
        <v>743</v>
      </c>
    </row>
    <row r="5" spans="1:13" ht="103.95" customHeight="1" x14ac:dyDescent="0.25">
      <c r="A5" s="910" t="s">
        <v>744</v>
      </c>
      <c r="B5" s="911"/>
      <c r="C5" s="603" t="s">
        <v>745</v>
      </c>
      <c r="D5" s="603" t="s">
        <v>746</v>
      </c>
      <c r="E5" s="603" t="s">
        <v>747</v>
      </c>
      <c r="F5" s="603" t="s">
        <v>748</v>
      </c>
      <c r="G5" s="603" t="s">
        <v>749</v>
      </c>
      <c r="H5" s="603" t="s">
        <v>750</v>
      </c>
      <c r="I5" s="603" t="s">
        <v>751</v>
      </c>
      <c r="J5" s="603" t="s">
        <v>752</v>
      </c>
      <c r="K5" s="603" t="s">
        <v>753</v>
      </c>
    </row>
    <row r="6" spans="1:13" x14ac:dyDescent="0.25">
      <c r="A6" s="574">
        <v>1</v>
      </c>
      <c r="B6" s="574" t="s">
        <v>754</v>
      </c>
      <c r="C6" s="572">
        <v>827426.42</v>
      </c>
      <c r="D6" s="572"/>
      <c r="E6" s="572"/>
      <c r="F6" s="572"/>
      <c r="G6" s="572">
        <v>48942414.988697752</v>
      </c>
      <c r="H6" s="572"/>
      <c r="I6" s="573">
        <v>19094263.426635683</v>
      </c>
      <c r="J6" s="573">
        <v>0</v>
      </c>
      <c r="K6" s="573">
        <f>'23. LTV'!C8-J6-I6-G6-C6</f>
        <v>71518192.901078612</v>
      </c>
      <c r="L6" s="659">
        <f>'23. LTV'!C8-'25. Collateral'!J6-'25. Collateral'!G6-'25. Collateral'!C6-K6-I6</f>
        <v>0</v>
      </c>
      <c r="M6" s="660">
        <v>1.1920928955078125E-7</v>
      </c>
    </row>
    <row r="7" spans="1:13" x14ac:dyDescent="0.25">
      <c r="A7" s="574">
        <v>2</v>
      </c>
      <c r="B7" s="574" t="s">
        <v>755</v>
      </c>
      <c r="C7" s="572"/>
      <c r="D7" s="572"/>
      <c r="E7" s="572"/>
      <c r="F7" s="572"/>
      <c r="G7" s="572"/>
      <c r="H7" s="572"/>
      <c r="I7" s="572"/>
      <c r="J7" s="572"/>
      <c r="K7" s="572"/>
      <c r="L7" s="661"/>
    </row>
    <row r="8" spans="1:13" x14ac:dyDescent="0.25">
      <c r="A8" s="574">
        <v>3</v>
      </c>
      <c r="B8" s="574" t="s">
        <v>705</v>
      </c>
      <c r="C8" s="573">
        <v>245681.8</v>
      </c>
      <c r="D8" s="572"/>
      <c r="E8" s="572"/>
      <c r="F8" s="572"/>
      <c r="G8" s="662">
        <f>'4. Off-balance'!E27+'4. Off-balance'!E28-C8-I8-K8</f>
        <v>33412996.510000002</v>
      </c>
      <c r="H8" s="572"/>
      <c r="I8" s="572"/>
      <c r="J8" s="572"/>
      <c r="K8" s="663"/>
      <c r="L8" s="659"/>
      <c r="M8" s="664"/>
    </row>
    <row r="9" spans="1:13" x14ac:dyDescent="0.25">
      <c r="A9" s="574">
        <v>4</v>
      </c>
      <c r="B9" s="596" t="s">
        <v>756</v>
      </c>
      <c r="C9" s="665"/>
      <c r="D9" s="665"/>
      <c r="E9" s="665"/>
      <c r="F9" s="665"/>
      <c r="G9" s="665">
        <v>4789134.0435037715</v>
      </c>
      <c r="H9" s="665"/>
      <c r="I9" s="666"/>
      <c r="J9" s="666"/>
      <c r="K9" s="665">
        <v>3843711.6169875758</v>
      </c>
      <c r="L9" s="667"/>
    </row>
    <row r="10" spans="1:13" x14ac:dyDescent="0.25">
      <c r="A10" s="574">
        <v>5</v>
      </c>
      <c r="B10" s="596" t="s">
        <v>757</v>
      </c>
      <c r="C10" s="665"/>
      <c r="D10" s="665"/>
      <c r="E10" s="665"/>
      <c r="F10" s="665"/>
      <c r="G10" s="665"/>
      <c r="H10" s="665"/>
      <c r="I10" s="665"/>
      <c r="J10" s="665"/>
      <c r="K10" s="665"/>
      <c r="L10" s="659"/>
    </row>
    <row r="11" spans="1:13" x14ac:dyDescent="0.25">
      <c r="A11" s="574">
        <v>6</v>
      </c>
      <c r="B11" s="596" t="s">
        <v>758</v>
      </c>
      <c r="C11" s="665"/>
      <c r="D11" s="665"/>
      <c r="E11" s="665"/>
      <c r="F11" s="665"/>
      <c r="G11" s="665"/>
      <c r="H11" s="665"/>
      <c r="I11" s="665"/>
      <c r="J11" s="665"/>
      <c r="K11" s="665"/>
      <c r="L11" s="661"/>
    </row>
    <row r="13" spans="1:13" ht="13.8" x14ac:dyDescent="0.3">
      <c r="B13" s="668"/>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5AED4-0C78-43FE-8A5A-0BD4C4832A9F}">
  <dimension ref="A1:W23"/>
  <sheetViews>
    <sheetView showGridLines="0" topLeftCell="A5" zoomScaleNormal="100" workbookViewId="0">
      <selection activeCell="S23" sqref="S23"/>
    </sheetView>
  </sheetViews>
  <sheetFormatPr defaultColWidth="8.6640625" defaultRowHeight="14.4" x14ac:dyDescent="0.3"/>
  <cols>
    <col min="1" max="1" width="10" style="669" bestFit="1" customWidth="1"/>
    <col min="2" max="2" width="71.6640625" style="669" customWidth="1"/>
    <col min="3" max="3" width="14.6640625" style="669" customWidth="1"/>
    <col min="4" max="5" width="15.33203125" style="669" bestFit="1" customWidth="1"/>
    <col min="6" max="6" width="20" style="669" bestFit="1" customWidth="1"/>
    <col min="7" max="7" width="37.6640625" style="669" bestFit="1" customWidth="1"/>
    <col min="8" max="8" width="13.33203125" style="669" customWidth="1"/>
    <col min="9" max="10" width="15.33203125" style="669" bestFit="1" customWidth="1"/>
    <col min="11" max="11" width="20" style="669" bestFit="1" customWidth="1"/>
    <col min="12" max="12" width="37.6640625" style="669" bestFit="1" customWidth="1"/>
    <col min="13" max="13" width="10.6640625" style="669" bestFit="1" customWidth="1"/>
    <col min="14" max="15" width="15.33203125" style="669" bestFit="1" customWidth="1"/>
    <col min="16" max="16" width="20" style="669" bestFit="1" customWidth="1"/>
    <col min="17" max="17" width="37.6640625" style="669" bestFit="1" customWidth="1"/>
    <col min="18" max="18" width="18" style="669" bestFit="1" customWidth="1"/>
    <col min="19" max="19" width="30.109375" style="669" customWidth="1"/>
    <col min="20" max="20" width="30.5546875" style="669" customWidth="1"/>
    <col min="21" max="21" width="35.33203125" style="669" customWidth="1"/>
    <col min="22" max="22" width="40.33203125" style="669" customWidth="1"/>
    <col min="23" max="16384" width="8.6640625" style="669"/>
  </cols>
  <sheetData>
    <row r="1" spans="1:22" x14ac:dyDescent="0.3">
      <c r="A1" s="547" t="s">
        <v>44</v>
      </c>
      <c r="B1" s="20" t="str">
        <f>Info!C2</f>
        <v>სს სილქ ბანკი</v>
      </c>
    </row>
    <row r="2" spans="1:22" x14ac:dyDescent="0.3">
      <c r="A2" s="547" t="s">
        <v>45</v>
      </c>
      <c r="B2" s="549">
        <f>'1. key ratios'!B2</f>
        <v>46112</v>
      </c>
    </row>
    <row r="3" spans="1:22" x14ac:dyDescent="0.3">
      <c r="A3" s="550" t="s">
        <v>759</v>
      </c>
      <c r="B3" s="565"/>
    </row>
    <row r="4" spans="1:22" x14ac:dyDescent="0.3">
      <c r="A4" s="550"/>
      <c r="B4" s="565"/>
    </row>
    <row r="5" spans="1:22" ht="24" customHeight="1" x14ac:dyDescent="0.3">
      <c r="A5" s="913" t="s">
        <v>760</v>
      </c>
      <c r="B5" s="913"/>
      <c r="C5" s="914" t="s">
        <v>761</v>
      </c>
      <c r="D5" s="914"/>
      <c r="E5" s="914"/>
      <c r="F5" s="914"/>
      <c r="G5" s="914"/>
      <c r="H5" s="914" t="s">
        <v>617</v>
      </c>
      <c r="I5" s="914"/>
      <c r="J5" s="914"/>
      <c r="K5" s="914"/>
      <c r="L5" s="914"/>
      <c r="M5" s="914" t="s">
        <v>738</v>
      </c>
      <c r="N5" s="914"/>
      <c r="O5" s="914"/>
      <c r="P5" s="914"/>
      <c r="Q5" s="914"/>
      <c r="R5" s="912" t="s">
        <v>762</v>
      </c>
      <c r="S5" s="912" t="s">
        <v>763</v>
      </c>
      <c r="T5" s="912" t="s">
        <v>764</v>
      </c>
      <c r="U5" s="912" t="s">
        <v>765</v>
      </c>
      <c r="V5" s="912" t="s">
        <v>766</v>
      </c>
    </row>
    <row r="6" spans="1:22" ht="36" customHeight="1" x14ac:dyDescent="0.3">
      <c r="A6" s="913"/>
      <c r="B6" s="913"/>
      <c r="C6" s="670"/>
      <c r="D6" s="569" t="s">
        <v>687</v>
      </c>
      <c r="E6" s="569" t="s">
        <v>688</v>
      </c>
      <c r="F6" s="569" t="s">
        <v>689</v>
      </c>
      <c r="G6" s="569" t="s">
        <v>690</v>
      </c>
      <c r="H6" s="670"/>
      <c r="I6" s="569" t="s">
        <v>687</v>
      </c>
      <c r="J6" s="569" t="s">
        <v>688</v>
      </c>
      <c r="K6" s="569" t="s">
        <v>689</v>
      </c>
      <c r="L6" s="569" t="s">
        <v>690</v>
      </c>
      <c r="M6" s="670"/>
      <c r="N6" s="569" t="s">
        <v>687</v>
      </c>
      <c r="O6" s="569" t="s">
        <v>688</v>
      </c>
      <c r="P6" s="569" t="s">
        <v>689</v>
      </c>
      <c r="Q6" s="569" t="s">
        <v>690</v>
      </c>
      <c r="R6" s="912"/>
      <c r="S6" s="912"/>
      <c r="T6" s="912"/>
      <c r="U6" s="912"/>
      <c r="V6" s="912"/>
    </row>
    <row r="7" spans="1:22" x14ac:dyDescent="0.3">
      <c r="A7" s="671">
        <v>1</v>
      </c>
      <c r="B7" s="672" t="s">
        <v>767</v>
      </c>
      <c r="C7" s="969">
        <v>2390808.5699999998</v>
      </c>
      <c r="D7" s="666">
        <v>2254039.13</v>
      </c>
      <c r="E7" s="666">
        <v>93442.59</v>
      </c>
      <c r="F7" s="666">
        <v>43326.85</v>
      </c>
      <c r="G7" s="666"/>
      <c r="H7" s="666">
        <v>2434872.2972080004</v>
      </c>
      <c r="I7" s="666">
        <v>2287384.5172080002</v>
      </c>
      <c r="J7" s="666">
        <v>98576.99</v>
      </c>
      <c r="K7" s="666">
        <v>48910.79</v>
      </c>
      <c r="L7" s="666"/>
      <c r="M7" s="666">
        <v>116269.40449968001</v>
      </c>
      <c r="N7" s="666">
        <v>41625.150539679998</v>
      </c>
      <c r="O7" s="666">
        <v>25733.463960000001</v>
      </c>
      <c r="P7" s="666">
        <v>48910.79</v>
      </c>
      <c r="Q7" s="666"/>
      <c r="R7" s="970">
        <v>164</v>
      </c>
      <c r="S7" s="971">
        <v>0.30887347595056303</v>
      </c>
      <c r="T7" s="971">
        <v>0.36298999419863731</v>
      </c>
      <c r="U7" s="971">
        <v>0.32049907818424794</v>
      </c>
      <c r="V7" s="666">
        <v>38.519123183919319</v>
      </c>
    </row>
    <row r="8" spans="1:22" x14ac:dyDescent="0.3">
      <c r="A8" s="671">
        <v>2</v>
      </c>
      <c r="B8" s="673" t="s">
        <v>635</v>
      </c>
      <c r="C8" s="969">
        <v>81796917.900000006</v>
      </c>
      <c r="D8" s="666">
        <v>76294134.620000005</v>
      </c>
      <c r="E8" s="666">
        <v>2473556.4500000002</v>
      </c>
      <c r="F8" s="666">
        <v>3029226.83</v>
      </c>
      <c r="G8" s="666"/>
      <c r="H8" s="666">
        <v>81481315.472753197</v>
      </c>
      <c r="I8" s="666">
        <v>75673874.381777927</v>
      </c>
      <c r="J8" s="666">
        <v>2533063.63285062</v>
      </c>
      <c r="K8" s="666">
        <v>3274377.4581246502</v>
      </c>
      <c r="L8" s="666"/>
      <c r="M8" s="666">
        <v>4483992.5394849498</v>
      </c>
      <c r="N8" s="666">
        <v>1200292.8523383499</v>
      </c>
      <c r="O8" s="666">
        <v>801703.58342675003</v>
      </c>
      <c r="P8" s="666">
        <v>2481996.1037198501</v>
      </c>
      <c r="Q8" s="666"/>
      <c r="R8" s="970">
        <v>15202</v>
      </c>
      <c r="S8" s="971">
        <v>0.22909150428381045</v>
      </c>
      <c r="T8" s="971">
        <v>0.27600847109990229</v>
      </c>
      <c r="U8" s="971">
        <v>0.22792042970438059</v>
      </c>
      <c r="V8" s="666">
        <v>44.573022224383557</v>
      </c>
    </row>
    <row r="9" spans="1:22" x14ac:dyDescent="0.3">
      <c r="A9" s="671">
        <v>3</v>
      </c>
      <c r="B9" s="673" t="s">
        <v>768</v>
      </c>
      <c r="C9" s="969">
        <v>4249.04</v>
      </c>
      <c r="D9" s="666">
        <v>4249.04</v>
      </c>
      <c r="E9" s="666">
        <v>0</v>
      </c>
      <c r="F9" s="666">
        <v>0</v>
      </c>
      <c r="G9" s="666"/>
      <c r="H9" s="666">
        <v>4273.59</v>
      </c>
      <c r="I9" s="666">
        <v>4273.59</v>
      </c>
      <c r="J9" s="666">
        <v>0</v>
      </c>
      <c r="K9" s="666">
        <v>0</v>
      </c>
      <c r="L9" s="666"/>
      <c r="M9" s="666">
        <v>161.32613541699999</v>
      </c>
      <c r="N9" s="666">
        <v>161.32613541699999</v>
      </c>
      <c r="O9" s="666">
        <v>0</v>
      </c>
      <c r="P9" s="666">
        <v>0</v>
      </c>
      <c r="Q9" s="666"/>
      <c r="R9" s="970">
        <v>16</v>
      </c>
      <c r="S9" s="971">
        <v>0</v>
      </c>
      <c r="T9" s="971">
        <v>0</v>
      </c>
      <c r="U9" s="971">
        <v>0</v>
      </c>
      <c r="V9" s="666">
        <v>0.54319842992330025</v>
      </c>
    </row>
    <row r="10" spans="1:22" x14ac:dyDescent="0.3">
      <c r="A10" s="671">
        <v>4</v>
      </c>
      <c r="B10" s="673" t="s">
        <v>769</v>
      </c>
      <c r="C10" s="969">
        <v>2205.2399999999998</v>
      </c>
      <c r="D10" s="666">
        <v>2205.2399999999998</v>
      </c>
      <c r="E10" s="666">
        <v>0</v>
      </c>
      <c r="F10" s="666">
        <v>0</v>
      </c>
      <c r="G10" s="666"/>
      <c r="H10" s="666">
        <v>2103.3647556000001</v>
      </c>
      <c r="I10" s="666">
        <v>2103.3647556000001</v>
      </c>
      <c r="J10" s="666">
        <v>0</v>
      </c>
      <c r="K10" s="666">
        <v>0</v>
      </c>
      <c r="L10" s="666"/>
      <c r="M10" s="666">
        <v>19.491715662000001</v>
      </c>
      <c r="N10" s="666">
        <v>19.491715662000001</v>
      </c>
      <c r="O10" s="666">
        <v>0</v>
      </c>
      <c r="P10" s="666">
        <v>0</v>
      </c>
      <c r="Q10" s="666"/>
      <c r="R10" s="970">
        <v>2</v>
      </c>
      <c r="S10" s="971">
        <v>0</v>
      </c>
      <c r="T10" s="971">
        <v>0</v>
      </c>
      <c r="U10" s="971">
        <v>0.28000000000000003</v>
      </c>
      <c r="V10" s="666">
        <v>11.747698209718669</v>
      </c>
    </row>
    <row r="11" spans="1:22" x14ac:dyDescent="0.3">
      <c r="A11" s="671">
        <v>5</v>
      </c>
      <c r="B11" s="673" t="s">
        <v>770</v>
      </c>
      <c r="C11" s="969">
        <v>16299.73</v>
      </c>
      <c r="D11" s="666">
        <v>16259.6</v>
      </c>
      <c r="E11" s="666">
        <v>11</v>
      </c>
      <c r="F11" s="666">
        <v>29.13</v>
      </c>
      <c r="G11" s="666"/>
      <c r="H11" s="666">
        <v>17550.329999999998</v>
      </c>
      <c r="I11" s="666">
        <v>17510.199999999997</v>
      </c>
      <c r="J11" s="666">
        <v>11</v>
      </c>
      <c r="K11" s="666">
        <v>29.13</v>
      </c>
      <c r="L11" s="666"/>
      <c r="M11" s="666">
        <v>523.68416178899997</v>
      </c>
      <c r="N11" s="666">
        <v>496.78724138499996</v>
      </c>
      <c r="O11" s="666">
        <v>5.1113515410000003</v>
      </c>
      <c r="P11" s="666">
        <v>21.785568863000002</v>
      </c>
      <c r="Q11" s="666"/>
      <c r="R11" s="970">
        <v>618</v>
      </c>
      <c r="S11" s="971">
        <v>0</v>
      </c>
      <c r="T11" s="971">
        <v>0</v>
      </c>
      <c r="U11" s="971">
        <v>0.1769165009900846</v>
      </c>
      <c r="V11" s="666">
        <v>9.9872051525472241</v>
      </c>
    </row>
    <row r="12" spans="1:22" x14ac:dyDescent="0.3">
      <c r="A12" s="671">
        <v>6</v>
      </c>
      <c r="B12" s="673" t="s">
        <v>771</v>
      </c>
      <c r="C12" s="969">
        <v>19583767.210000001</v>
      </c>
      <c r="D12" s="666">
        <v>18745237.859999999</v>
      </c>
      <c r="E12" s="666">
        <v>310136.46000000002</v>
      </c>
      <c r="F12" s="666">
        <v>528392.89</v>
      </c>
      <c r="G12" s="666"/>
      <c r="H12" s="666">
        <v>19746012.468999997</v>
      </c>
      <c r="I12" s="666">
        <v>18810784.458999999</v>
      </c>
      <c r="J12" s="666">
        <v>328993.49</v>
      </c>
      <c r="K12" s="666">
        <v>606234.52</v>
      </c>
      <c r="L12" s="666"/>
      <c r="M12" s="666">
        <v>1067051.0560142659</v>
      </c>
      <c r="N12" s="666">
        <v>454012.237085931</v>
      </c>
      <c r="O12" s="666">
        <v>159445.78981776501</v>
      </c>
      <c r="P12" s="666">
        <v>453593.02911056997</v>
      </c>
      <c r="Q12" s="666"/>
      <c r="R12" s="970">
        <v>13162</v>
      </c>
      <c r="S12" s="971">
        <v>0.36</v>
      </c>
      <c r="T12" s="971">
        <v>0.44900000000000001</v>
      </c>
      <c r="U12" s="971">
        <v>0.35966437036707405</v>
      </c>
      <c r="V12" s="666">
        <v>41.282144880044932</v>
      </c>
    </row>
    <row r="13" spans="1:22" x14ac:dyDescent="0.3">
      <c r="A13" s="671">
        <v>7</v>
      </c>
      <c r="B13" s="673" t="s">
        <v>772</v>
      </c>
      <c r="C13" s="969">
        <v>7941155.1999999993</v>
      </c>
      <c r="D13" s="666">
        <v>7207107.5299999993</v>
      </c>
      <c r="E13" s="666">
        <v>453164.05</v>
      </c>
      <c r="F13" s="666">
        <v>280883.62</v>
      </c>
      <c r="G13" s="666"/>
      <c r="H13" s="666">
        <v>7979046.7137520006</v>
      </c>
      <c r="I13" s="666">
        <v>7215659.1993320007</v>
      </c>
      <c r="J13" s="666">
        <v>458614.74202000001</v>
      </c>
      <c r="K13" s="666">
        <v>304772.77240000002</v>
      </c>
      <c r="L13" s="666"/>
      <c r="M13" s="666">
        <v>359237.93655810005</v>
      </c>
      <c r="N13" s="666">
        <v>82676.078211100001</v>
      </c>
      <c r="O13" s="666">
        <v>129111.461047</v>
      </c>
      <c r="P13" s="666">
        <v>147450.39730000001</v>
      </c>
      <c r="Q13" s="666"/>
      <c r="R13" s="970">
        <v>54</v>
      </c>
      <c r="S13" s="971">
        <v>0.16144058885383808</v>
      </c>
      <c r="T13" s="971">
        <v>0.17705678233438488</v>
      </c>
      <c r="U13" s="971">
        <v>0.15108449710112704</v>
      </c>
      <c r="V13" s="666">
        <v>133.60708678077467</v>
      </c>
    </row>
    <row r="14" spans="1:22" x14ac:dyDescent="0.3">
      <c r="A14" s="674">
        <v>7.1</v>
      </c>
      <c r="B14" s="675" t="s">
        <v>773</v>
      </c>
      <c r="C14" s="969">
        <v>5587828.6600000001</v>
      </c>
      <c r="D14" s="666">
        <v>4885668.6100000003</v>
      </c>
      <c r="E14" s="666">
        <v>421276.43</v>
      </c>
      <c r="F14" s="666">
        <v>280883.62</v>
      </c>
      <c r="G14" s="666"/>
      <c r="H14" s="666">
        <v>5624999.3078200007</v>
      </c>
      <c r="I14" s="666">
        <v>4893738.1698200004</v>
      </c>
      <c r="J14" s="666">
        <v>426488.36560000002</v>
      </c>
      <c r="K14" s="666">
        <v>304772.77240000002</v>
      </c>
      <c r="L14" s="666"/>
      <c r="M14" s="666">
        <v>316534.87624910002</v>
      </c>
      <c r="N14" s="666">
        <v>51306.552429100004</v>
      </c>
      <c r="O14" s="666">
        <v>117777.92651999999</v>
      </c>
      <c r="P14" s="666">
        <v>147450.39730000001</v>
      </c>
      <c r="Q14" s="666"/>
      <c r="R14" s="970">
        <v>30</v>
      </c>
      <c r="S14" s="971">
        <v>0.1583700980392157</v>
      </c>
      <c r="T14" s="971">
        <v>0.17342647058823532</v>
      </c>
      <c r="U14" s="971">
        <v>0.14269608194822495</v>
      </c>
      <c r="V14" s="666">
        <v>134.0753576110904</v>
      </c>
    </row>
    <row r="15" spans="1:22" ht="24" x14ac:dyDescent="0.3">
      <c r="A15" s="674">
        <v>7.2</v>
      </c>
      <c r="B15" s="675" t="s">
        <v>774</v>
      </c>
      <c r="C15" s="969">
        <v>955501.48</v>
      </c>
      <c r="D15" s="666">
        <v>955501.48</v>
      </c>
      <c r="E15" s="666">
        <v>0</v>
      </c>
      <c r="F15" s="666">
        <v>0</v>
      </c>
      <c r="G15" s="666"/>
      <c r="H15" s="666">
        <v>955014.70303199999</v>
      </c>
      <c r="I15" s="666">
        <v>955014.70303199999</v>
      </c>
      <c r="J15" s="666">
        <v>0</v>
      </c>
      <c r="K15" s="666">
        <v>0</v>
      </c>
      <c r="L15" s="666"/>
      <c r="M15" s="666">
        <v>10811.4816071</v>
      </c>
      <c r="N15" s="666">
        <v>10811.4816071</v>
      </c>
      <c r="O15" s="666">
        <v>0</v>
      </c>
      <c r="P15" s="666">
        <v>0</v>
      </c>
      <c r="Q15" s="666"/>
      <c r="R15" s="970">
        <v>7</v>
      </c>
      <c r="S15" s="971">
        <v>0</v>
      </c>
      <c r="T15" s="971">
        <v>0</v>
      </c>
      <c r="U15" s="971">
        <v>0.15468049070944401</v>
      </c>
      <c r="V15" s="666">
        <v>177.03309646260305</v>
      </c>
    </row>
    <row r="16" spans="1:22" x14ac:dyDescent="0.3">
      <c r="A16" s="674">
        <v>7.3</v>
      </c>
      <c r="B16" s="675" t="s">
        <v>775</v>
      </c>
      <c r="C16" s="969">
        <v>1397825.06</v>
      </c>
      <c r="D16" s="666">
        <v>1365937.44</v>
      </c>
      <c r="E16" s="666">
        <v>31887.62</v>
      </c>
      <c r="F16" s="666">
        <v>0</v>
      </c>
      <c r="G16" s="666"/>
      <c r="H16" s="666">
        <v>1399032.7029000001</v>
      </c>
      <c r="I16" s="666">
        <v>1366906.32648</v>
      </c>
      <c r="J16" s="666">
        <v>32126.376420000001</v>
      </c>
      <c r="K16" s="666">
        <v>0</v>
      </c>
      <c r="L16" s="666"/>
      <c r="M16" s="666">
        <v>31891.578701899998</v>
      </c>
      <c r="N16" s="666">
        <v>20558.044174899998</v>
      </c>
      <c r="O16" s="666">
        <v>11333.534527</v>
      </c>
      <c r="P16" s="666">
        <v>0</v>
      </c>
      <c r="Q16" s="666"/>
      <c r="R16" s="970">
        <v>17</v>
      </c>
      <c r="S16" s="971">
        <v>0.18</v>
      </c>
      <c r="T16" s="971">
        <v>0.19900000000000001</v>
      </c>
      <c r="U16" s="971">
        <v>0.18215923644551058</v>
      </c>
      <c r="V16" s="666">
        <v>102.05075333818954</v>
      </c>
    </row>
    <row r="17" spans="1:23" x14ac:dyDescent="0.3">
      <c r="A17" s="671">
        <v>8</v>
      </c>
      <c r="B17" s="673" t="s">
        <v>776</v>
      </c>
      <c r="C17" s="969">
        <v>0</v>
      </c>
      <c r="D17" s="666">
        <v>0</v>
      </c>
      <c r="E17" s="666">
        <v>0</v>
      </c>
      <c r="F17" s="666">
        <v>0</v>
      </c>
      <c r="G17" s="666"/>
      <c r="H17" s="666">
        <v>0</v>
      </c>
      <c r="I17" s="666">
        <v>0</v>
      </c>
      <c r="J17" s="666">
        <v>0</v>
      </c>
      <c r="K17" s="666">
        <v>0</v>
      </c>
      <c r="L17" s="666"/>
      <c r="M17" s="666">
        <v>0</v>
      </c>
      <c r="N17" s="666">
        <v>0</v>
      </c>
      <c r="O17" s="666">
        <v>0</v>
      </c>
      <c r="P17" s="666">
        <v>0</v>
      </c>
      <c r="Q17" s="666"/>
      <c r="R17" s="970">
        <v>0</v>
      </c>
      <c r="S17" s="971">
        <v>0</v>
      </c>
      <c r="T17" s="971">
        <v>0</v>
      </c>
      <c r="U17" s="971">
        <v>0</v>
      </c>
      <c r="V17" s="666">
        <v>0</v>
      </c>
    </row>
    <row r="18" spans="1:23" x14ac:dyDescent="0.3">
      <c r="A18" s="676">
        <v>9</v>
      </c>
      <c r="B18" s="677" t="s">
        <v>777</v>
      </c>
      <c r="C18" s="969">
        <v>0</v>
      </c>
      <c r="D18" s="666">
        <v>0</v>
      </c>
      <c r="E18" s="666">
        <v>0</v>
      </c>
      <c r="F18" s="666">
        <v>0</v>
      </c>
      <c r="G18" s="972"/>
      <c r="H18" s="666">
        <v>0</v>
      </c>
      <c r="I18" s="666">
        <v>0</v>
      </c>
      <c r="J18" s="666">
        <v>0</v>
      </c>
      <c r="K18" s="666">
        <v>0</v>
      </c>
      <c r="L18" s="972"/>
      <c r="M18" s="666">
        <v>0</v>
      </c>
      <c r="N18" s="666">
        <v>0</v>
      </c>
      <c r="O18" s="666">
        <v>0</v>
      </c>
      <c r="P18" s="666">
        <v>0</v>
      </c>
      <c r="Q18" s="972"/>
      <c r="R18" s="970">
        <v>0</v>
      </c>
      <c r="S18" s="971">
        <v>0</v>
      </c>
      <c r="T18" s="971">
        <v>0</v>
      </c>
      <c r="U18" s="971">
        <v>0</v>
      </c>
      <c r="V18" s="666">
        <v>0</v>
      </c>
    </row>
    <row r="19" spans="1:23" x14ac:dyDescent="0.3">
      <c r="A19" s="671">
        <v>10</v>
      </c>
      <c r="B19" s="678" t="s">
        <v>778</v>
      </c>
      <c r="C19" s="969">
        <v>111735402.88999999</v>
      </c>
      <c r="D19" s="666">
        <v>104523233.02</v>
      </c>
      <c r="E19" s="666">
        <v>3330310.55</v>
      </c>
      <c r="F19" s="666">
        <v>3881859.3200000003</v>
      </c>
      <c r="G19" s="666"/>
      <c r="H19" s="666">
        <v>111665174.23746879</v>
      </c>
      <c r="I19" s="666">
        <v>104011589.71207353</v>
      </c>
      <c r="J19" s="666">
        <v>3419259.8548706202</v>
      </c>
      <c r="K19" s="666">
        <v>4234324.6705246503</v>
      </c>
      <c r="L19" s="666"/>
      <c r="M19" s="666">
        <v>6027255.4385698643</v>
      </c>
      <c r="N19" s="666">
        <v>1779283.9232675249</v>
      </c>
      <c r="O19" s="666">
        <v>1115999.409603056</v>
      </c>
      <c r="P19" s="666">
        <v>3131972.1056992831</v>
      </c>
      <c r="Q19" s="666"/>
      <c r="R19" s="970">
        <v>29218</v>
      </c>
      <c r="S19" s="971">
        <v>0.24183317060231202</v>
      </c>
      <c r="T19" s="971">
        <v>0.29229560084903017</v>
      </c>
      <c r="U19" s="971">
        <v>0.24774960625915365</v>
      </c>
      <c r="V19" s="666">
        <v>50.191314191422741</v>
      </c>
    </row>
    <row r="20" spans="1:23" ht="24" x14ac:dyDescent="0.3">
      <c r="A20" s="674">
        <v>10.1</v>
      </c>
      <c r="B20" s="675" t="s">
        <v>779</v>
      </c>
      <c r="C20" s="970"/>
      <c r="D20" s="666"/>
      <c r="E20" s="666"/>
      <c r="F20" s="666"/>
      <c r="G20" s="666"/>
      <c r="H20" s="666">
        <v>0</v>
      </c>
      <c r="I20" s="666"/>
      <c r="J20" s="666"/>
      <c r="K20" s="666"/>
      <c r="L20" s="666"/>
      <c r="M20" s="666">
        <v>0</v>
      </c>
      <c r="N20" s="666"/>
      <c r="O20" s="666"/>
      <c r="P20" s="666"/>
      <c r="Q20" s="666"/>
      <c r="R20" s="970"/>
      <c r="S20" s="970"/>
      <c r="T20" s="970"/>
      <c r="U20" s="970"/>
      <c r="V20" s="970"/>
    </row>
    <row r="22" spans="1:23" x14ac:dyDescent="0.3">
      <c r="C22" s="772"/>
    </row>
    <row r="23" spans="1:23" x14ac:dyDescent="0.3">
      <c r="C23" s="773"/>
      <c r="D23" s="773"/>
      <c r="E23" s="773"/>
      <c r="F23" s="773"/>
      <c r="G23" s="773"/>
      <c r="H23" s="773"/>
      <c r="I23" s="773"/>
      <c r="J23" s="773"/>
      <c r="K23" s="773"/>
      <c r="L23" s="773"/>
      <c r="M23" s="773"/>
      <c r="N23" s="773"/>
      <c r="O23" s="773"/>
      <c r="P23" s="773"/>
      <c r="Q23" s="773"/>
      <c r="R23" s="773"/>
      <c r="S23" s="679"/>
      <c r="T23" s="679"/>
      <c r="U23" s="680"/>
      <c r="V23" s="681"/>
      <c r="W23" s="774"/>
    </row>
  </sheetData>
  <mergeCells count="9">
    <mergeCell ref="T5:T6"/>
    <mergeCell ref="U5:U6"/>
    <mergeCell ref="V5:V6"/>
    <mergeCell ref="A5:B6"/>
    <mergeCell ref="C5:G5"/>
    <mergeCell ref="H5:L5"/>
    <mergeCell ref="M5:Q5"/>
    <mergeCell ref="R5:R6"/>
    <mergeCell ref="S5:S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8E218-B0AE-4630-B7B7-E8DB80B3B81A}">
  <dimension ref="A1:F237"/>
  <sheetViews>
    <sheetView topLeftCell="B60" zoomScale="110" zoomScaleNormal="110" workbookViewId="0">
      <selection activeCell="B15" sqref="B15:C15"/>
    </sheetView>
  </sheetViews>
  <sheetFormatPr defaultColWidth="43.5546875" defaultRowHeight="12" x14ac:dyDescent="0.3"/>
  <cols>
    <col min="1" max="1" width="8" style="734" customWidth="1"/>
    <col min="2" max="2" width="66.33203125" style="749" customWidth="1"/>
    <col min="3" max="3" width="131.44140625" style="750" customWidth="1"/>
    <col min="4" max="5" width="10.33203125" style="682" customWidth="1"/>
    <col min="6" max="6" width="67.6640625" style="682" customWidth="1"/>
    <col min="7" max="16384" width="43.5546875" style="682"/>
  </cols>
  <sheetData>
    <row r="1" spans="1:3" ht="13.2" thickTop="1" thickBot="1" x14ac:dyDescent="0.35">
      <c r="A1" s="921" t="s">
        <v>780</v>
      </c>
      <c r="B1" s="922"/>
      <c r="C1" s="923"/>
    </row>
    <row r="2" spans="1:3" ht="26.25" customHeight="1" x14ac:dyDescent="0.3">
      <c r="A2" s="683"/>
      <c r="B2" s="924" t="s">
        <v>781</v>
      </c>
      <c r="C2" s="924"/>
    </row>
    <row r="3" spans="1:3" s="686" customFormat="1" ht="11.25" customHeight="1" x14ac:dyDescent="0.3">
      <c r="A3" s="685"/>
      <c r="B3" s="924" t="s">
        <v>782</v>
      </c>
      <c r="C3" s="924"/>
    </row>
    <row r="4" spans="1:3" ht="12" customHeight="1" thickBot="1" x14ac:dyDescent="0.35">
      <c r="A4" s="925" t="s">
        <v>783</v>
      </c>
      <c r="B4" s="926"/>
      <c r="C4" s="927"/>
    </row>
    <row r="5" spans="1:3" ht="12.6" thickTop="1" x14ac:dyDescent="0.3">
      <c r="A5" s="687"/>
      <c r="B5" s="928" t="s">
        <v>784</v>
      </c>
      <c r="C5" s="929"/>
    </row>
    <row r="6" spans="1:3" x14ac:dyDescent="0.3">
      <c r="A6" s="683"/>
      <c r="B6" s="915" t="s">
        <v>785</v>
      </c>
      <c r="C6" s="916"/>
    </row>
    <row r="7" spans="1:3" x14ac:dyDescent="0.3">
      <c r="A7" s="683"/>
      <c r="B7" s="915" t="s">
        <v>786</v>
      </c>
      <c r="C7" s="916"/>
    </row>
    <row r="8" spans="1:3" x14ac:dyDescent="0.3">
      <c r="A8" s="683"/>
      <c r="B8" s="915" t="s">
        <v>787</v>
      </c>
      <c r="C8" s="916"/>
    </row>
    <row r="9" spans="1:3" x14ac:dyDescent="0.3">
      <c r="A9" s="683"/>
      <c r="B9" s="917" t="s">
        <v>788</v>
      </c>
      <c r="C9" s="918"/>
    </row>
    <row r="10" spans="1:3" x14ac:dyDescent="0.3">
      <c r="A10" s="683"/>
      <c r="B10" s="919" t="s">
        <v>789</v>
      </c>
      <c r="C10" s="920" t="s">
        <v>789</v>
      </c>
    </row>
    <row r="11" spans="1:3" x14ac:dyDescent="0.3">
      <c r="A11" s="683"/>
      <c r="B11" s="919" t="s">
        <v>790</v>
      </c>
      <c r="C11" s="920" t="s">
        <v>790</v>
      </c>
    </row>
    <row r="12" spans="1:3" x14ac:dyDescent="0.3">
      <c r="A12" s="683"/>
      <c r="B12" s="919" t="s">
        <v>791</v>
      </c>
      <c r="C12" s="920" t="s">
        <v>791</v>
      </c>
    </row>
    <row r="13" spans="1:3" x14ac:dyDescent="0.3">
      <c r="A13" s="683"/>
      <c r="B13" s="919" t="s">
        <v>792</v>
      </c>
      <c r="C13" s="920" t="s">
        <v>792</v>
      </c>
    </row>
    <row r="14" spans="1:3" x14ac:dyDescent="0.3">
      <c r="A14" s="683"/>
      <c r="B14" s="919" t="s">
        <v>793</v>
      </c>
      <c r="C14" s="920" t="s">
        <v>793</v>
      </c>
    </row>
    <row r="15" spans="1:3" ht="21.75" customHeight="1" x14ac:dyDescent="0.3">
      <c r="A15" s="683"/>
      <c r="B15" s="919" t="s">
        <v>794</v>
      </c>
      <c r="C15" s="920" t="s">
        <v>794</v>
      </c>
    </row>
    <row r="16" spans="1:3" x14ac:dyDescent="0.3">
      <c r="A16" s="683"/>
      <c r="B16" s="919" t="s">
        <v>795</v>
      </c>
      <c r="C16" s="920" t="s">
        <v>796</v>
      </c>
    </row>
    <row r="17" spans="1:6" x14ac:dyDescent="0.3">
      <c r="A17" s="683"/>
      <c r="B17" s="919" t="s">
        <v>797</v>
      </c>
      <c r="C17" s="920" t="s">
        <v>798</v>
      </c>
    </row>
    <row r="18" spans="1:6" x14ac:dyDescent="0.3">
      <c r="A18" s="683"/>
      <c r="B18" s="919" t="s">
        <v>799</v>
      </c>
      <c r="C18" s="920" t="s">
        <v>800</v>
      </c>
    </row>
    <row r="19" spans="1:6" x14ac:dyDescent="0.3">
      <c r="A19" s="689"/>
      <c r="B19" s="930" t="s">
        <v>801</v>
      </c>
      <c r="C19" s="931" t="s">
        <v>801</v>
      </c>
    </row>
    <row r="20" spans="1:6" x14ac:dyDescent="0.3">
      <c r="A20" s="689"/>
      <c r="B20" s="930" t="s">
        <v>802</v>
      </c>
      <c r="C20" s="931" t="s">
        <v>803</v>
      </c>
    </row>
    <row r="21" spans="1:6" x14ac:dyDescent="0.3">
      <c r="A21" s="683"/>
      <c r="B21" s="930" t="s">
        <v>804</v>
      </c>
      <c r="C21" s="931" t="s">
        <v>805</v>
      </c>
    </row>
    <row r="22" spans="1:6" ht="23.25" customHeight="1" x14ac:dyDescent="0.3">
      <c r="A22" s="683"/>
      <c r="B22" s="919" t="s">
        <v>806</v>
      </c>
      <c r="C22" s="920" t="s">
        <v>807</v>
      </c>
      <c r="F22" s="690"/>
    </row>
    <row r="23" spans="1:6" x14ac:dyDescent="0.3">
      <c r="A23" s="683"/>
      <c r="B23" s="919" t="s">
        <v>808</v>
      </c>
      <c r="C23" s="920" t="s">
        <v>808</v>
      </c>
    </row>
    <row r="24" spans="1:6" x14ac:dyDescent="0.3">
      <c r="A24" s="683"/>
      <c r="B24" s="919" t="s">
        <v>809</v>
      </c>
      <c r="C24" s="920" t="s">
        <v>810</v>
      </c>
    </row>
    <row r="25" spans="1:6" ht="12.6" thickBot="1" x14ac:dyDescent="0.35">
      <c r="A25" s="691"/>
      <c r="B25" s="935" t="s">
        <v>811</v>
      </c>
      <c r="C25" s="936"/>
    </row>
    <row r="26" spans="1:6" ht="13.2" thickTop="1" thickBot="1" x14ac:dyDescent="0.35">
      <c r="A26" s="925" t="s">
        <v>812</v>
      </c>
      <c r="B26" s="926"/>
      <c r="C26" s="927"/>
    </row>
    <row r="27" spans="1:6" ht="13.2" thickTop="1" thickBot="1" x14ac:dyDescent="0.35">
      <c r="A27" s="692"/>
      <c r="B27" s="937" t="s">
        <v>813</v>
      </c>
      <c r="C27" s="938"/>
    </row>
    <row r="28" spans="1:6" ht="13.2" thickTop="1" thickBot="1" x14ac:dyDescent="0.35">
      <c r="A28" s="925" t="s">
        <v>814</v>
      </c>
      <c r="B28" s="926"/>
      <c r="C28" s="927"/>
    </row>
    <row r="29" spans="1:6" ht="12.6" thickTop="1" x14ac:dyDescent="0.3">
      <c r="A29" s="687"/>
      <c r="B29" s="939" t="s">
        <v>815</v>
      </c>
      <c r="C29" s="940" t="s">
        <v>816</v>
      </c>
    </row>
    <row r="30" spans="1:6" x14ac:dyDescent="0.3">
      <c r="A30" s="683"/>
      <c r="B30" s="932" t="s">
        <v>817</v>
      </c>
      <c r="C30" s="933" t="s">
        <v>818</v>
      </c>
    </row>
    <row r="31" spans="1:6" x14ac:dyDescent="0.3">
      <c r="A31" s="683"/>
      <c r="B31" s="932" t="s">
        <v>819</v>
      </c>
      <c r="C31" s="933" t="s">
        <v>820</v>
      </c>
    </row>
    <row r="32" spans="1:6" x14ac:dyDescent="0.3">
      <c r="A32" s="683"/>
      <c r="B32" s="932" t="s">
        <v>821</v>
      </c>
      <c r="C32" s="933" t="s">
        <v>822</v>
      </c>
    </row>
    <row r="33" spans="1:3" x14ac:dyDescent="0.3">
      <c r="A33" s="683"/>
      <c r="B33" s="932" t="s">
        <v>823</v>
      </c>
      <c r="C33" s="933" t="s">
        <v>824</v>
      </c>
    </row>
    <row r="34" spans="1:3" x14ac:dyDescent="0.3">
      <c r="A34" s="683"/>
      <c r="B34" s="932" t="s">
        <v>825</v>
      </c>
      <c r="C34" s="933" t="s">
        <v>826</v>
      </c>
    </row>
    <row r="35" spans="1:3" x14ac:dyDescent="0.3">
      <c r="A35" s="683"/>
      <c r="B35" s="932" t="s">
        <v>827</v>
      </c>
      <c r="C35" s="933" t="s">
        <v>828</v>
      </c>
    </row>
    <row r="36" spans="1:3" x14ac:dyDescent="0.3">
      <c r="A36" s="683"/>
      <c r="B36" s="915" t="s">
        <v>829</v>
      </c>
      <c r="C36" s="934"/>
    </row>
    <row r="37" spans="1:3" ht="24.75" customHeight="1" x14ac:dyDescent="0.3">
      <c r="A37" s="683"/>
      <c r="B37" s="932" t="s">
        <v>830</v>
      </c>
      <c r="C37" s="933" t="s">
        <v>831</v>
      </c>
    </row>
    <row r="38" spans="1:3" ht="23.25" customHeight="1" x14ac:dyDescent="0.3">
      <c r="A38" s="683"/>
      <c r="B38" s="932" t="s">
        <v>832</v>
      </c>
      <c r="C38" s="933" t="s">
        <v>833</v>
      </c>
    </row>
    <row r="39" spans="1:3" ht="23.25" customHeight="1" x14ac:dyDescent="0.3">
      <c r="A39" s="683"/>
      <c r="B39" s="915" t="s">
        <v>834</v>
      </c>
      <c r="C39" s="916"/>
    </row>
    <row r="40" spans="1:3" ht="12" customHeight="1" x14ac:dyDescent="0.3">
      <c r="A40" s="683"/>
      <c r="B40" s="932" t="s">
        <v>835</v>
      </c>
      <c r="C40" s="933"/>
    </row>
    <row r="41" spans="1:3" ht="12.6" thickBot="1" x14ac:dyDescent="0.35">
      <c r="A41" s="925" t="s">
        <v>836</v>
      </c>
      <c r="B41" s="926"/>
      <c r="C41" s="927"/>
    </row>
    <row r="42" spans="1:3" ht="12.6" thickTop="1" x14ac:dyDescent="0.3">
      <c r="A42" s="687"/>
      <c r="B42" s="928" t="s">
        <v>837</v>
      </c>
      <c r="C42" s="929" t="s">
        <v>838</v>
      </c>
    </row>
    <row r="43" spans="1:3" x14ac:dyDescent="0.3">
      <c r="A43" s="683"/>
      <c r="B43" s="915" t="s">
        <v>839</v>
      </c>
      <c r="C43" s="916"/>
    </row>
    <row r="44" spans="1:3" ht="23.25" customHeight="1" thickBot="1" x14ac:dyDescent="0.35">
      <c r="A44" s="691"/>
      <c r="B44" s="941" t="s">
        <v>840</v>
      </c>
      <c r="C44" s="942" t="s">
        <v>841</v>
      </c>
    </row>
    <row r="45" spans="1:3" ht="11.25" customHeight="1" thickTop="1" thickBot="1" x14ac:dyDescent="0.35">
      <c r="A45" s="925" t="s">
        <v>842</v>
      </c>
      <c r="B45" s="926"/>
      <c r="C45" s="927"/>
    </row>
    <row r="46" spans="1:3" ht="26.25" customHeight="1" thickTop="1" x14ac:dyDescent="0.3">
      <c r="A46" s="683"/>
      <c r="B46" s="915" t="s">
        <v>843</v>
      </c>
      <c r="C46" s="916"/>
    </row>
    <row r="47" spans="1:3" ht="12.6" thickBot="1" x14ac:dyDescent="0.35">
      <c r="A47" s="925" t="s">
        <v>844</v>
      </c>
      <c r="B47" s="926"/>
      <c r="C47" s="927"/>
    </row>
    <row r="48" spans="1:3" ht="12.6" thickTop="1" x14ac:dyDescent="0.3">
      <c r="A48" s="687"/>
      <c r="B48" s="928" t="s">
        <v>845</v>
      </c>
      <c r="C48" s="929" t="s">
        <v>845</v>
      </c>
    </row>
    <row r="49" spans="1:3" ht="11.25" customHeight="1" x14ac:dyDescent="0.3">
      <c r="A49" s="683"/>
      <c r="B49" s="915" t="s">
        <v>846</v>
      </c>
      <c r="C49" s="916" t="s">
        <v>846</v>
      </c>
    </row>
    <row r="50" spans="1:3" x14ac:dyDescent="0.3">
      <c r="A50" s="683"/>
      <c r="B50" s="915" t="s">
        <v>847</v>
      </c>
      <c r="C50" s="916" t="s">
        <v>847</v>
      </c>
    </row>
    <row r="51" spans="1:3" ht="11.25" customHeight="1" x14ac:dyDescent="0.3">
      <c r="A51" s="683"/>
      <c r="B51" s="915" t="s">
        <v>848</v>
      </c>
      <c r="C51" s="916" t="s">
        <v>849</v>
      </c>
    </row>
    <row r="52" spans="1:3" ht="33.6" customHeight="1" x14ac:dyDescent="0.3">
      <c r="A52" s="683"/>
      <c r="B52" s="915" t="s">
        <v>850</v>
      </c>
      <c r="C52" s="916" t="s">
        <v>850</v>
      </c>
    </row>
    <row r="53" spans="1:3" ht="11.25" customHeight="1" x14ac:dyDescent="0.3">
      <c r="A53" s="683"/>
      <c r="B53" s="915" t="s">
        <v>851</v>
      </c>
      <c r="C53" s="916" t="s">
        <v>852</v>
      </c>
    </row>
    <row r="54" spans="1:3" ht="11.25" customHeight="1" thickBot="1" x14ac:dyDescent="0.35">
      <c r="A54" s="925" t="s">
        <v>853</v>
      </c>
      <c r="B54" s="926"/>
      <c r="C54" s="927"/>
    </row>
    <row r="55" spans="1:3" ht="12.6" thickTop="1" x14ac:dyDescent="0.3">
      <c r="A55" s="687"/>
      <c r="B55" s="928" t="s">
        <v>845</v>
      </c>
      <c r="C55" s="929" t="s">
        <v>845</v>
      </c>
    </row>
    <row r="56" spans="1:3" x14ac:dyDescent="0.3">
      <c r="A56" s="683"/>
      <c r="B56" s="915" t="s">
        <v>854</v>
      </c>
      <c r="C56" s="916" t="s">
        <v>854</v>
      </c>
    </row>
    <row r="57" spans="1:3" x14ac:dyDescent="0.3">
      <c r="A57" s="683"/>
      <c r="B57" s="915" t="s">
        <v>855</v>
      </c>
      <c r="C57" s="916" t="s">
        <v>856</v>
      </c>
    </row>
    <row r="58" spans="1:3" x14ac:dyDescent="0.3">
      <c r="A58" s="683"/>
      <c r="B58" s="915" t="s">
        <v>857</v>
      </c>
      <c r="C58" s="916" t="s">
        <v>857</v>
      </c>
    </row>
    <row r="59" spans="1:3" x14ac:dyDescent="0.3">
      <c r="A59" s="683"/>
      <c r="B59" s="915" t="s">
        <v>858</v>
      </c>
      <c r="C59" s="916" t="s">
        <v>858</v>
      </c>
    </row>
    <row r="60" spans="1:3" x14ac:dyDescent="0.3">
      <c r="A60" s="683"/>
      <c r="B60" s="915" t="s">
        <v>859</v>
      </c>
      <c r="C60" s="916" t="s">
        <v>859</v>
      </c>
    </row>
    <row r="61" spans="1:3" x14ac:dyDescent="0.3">
      <c r="A61" s="683"/>
      <c r="B61" s="915" t="s">
        <v>860</v>
      </c>
      <c r="C61" s="916" t="s">
        <v>861</v>
      </c>
    </row>
    <row r="62" spans="1:3" ht="12" customHeight="1" x14ac:dyDescent="0.3">
      <c r="A62" s="683"/>
      <c r="B62" s="915" t="s">
        <v>862</v>
      </c>
      <c r="C62" s="916" t="s">
        <v>863</v>
      </c>
    </row>
    <row r="63" spans="1:3" ht="22.5" customHeight="1" thickBot="1" x14ac:dyDescent="0.35">
      <c r="A63" s="691"/>
      <c r="B63" s="941" t="s">
        <v>864</v>
      </c>
      <c r="C63" s="942" t="s">
        <v>864</v>
      </c>
    </row>
    <row r="64" spans="1:3" ht="11.25" customHeight="1" thickTop="1" x14ac:dyDescent="0.3">
      <c r="A64" s="945" t="s">
        <v>865</v>
      </c>
      <c r="B64" s="946"/>
      <c r="C64" s="947"/>
    </row>
    <row r="65" spans="1:3" ht="12.6" thickBot="1" x14ac:dyDescent="0.35">
      <c r="A65" s="691"/>
      <c r="B65" s="941" t="s">
        <v>866</v>
      </c>
      <c r="C65" s="942" t="s">
        <v>866</v>
      </c>
    </row>
    <row r="66" spans="1:3" ht="11.25" customHeight="1" thickTop="1" x14ac:dyDescent="0.3">
      <c r="A66" s="945" t="s">
        <v>867</v>
      </c>
      <c r="B66" s="946"/>
      <c r="C66" s="947"/>
    </row>
    <row r="67" spans="1:3" ht="12.6" thickBot="1" x14ac:dyDescent="0.35">
      <c r="A67" s="691"/>
      <c r="B67" s="941" t="s">
        <v>868</v>
      </c>
      <c r="C67" s="942"/>
    </row>
    <row r="68" spans="1:3" ht="11.25" customHeight="1" thickTop="1" thickBot="1" x14ac:dyDescent="0.35">
      <c r="A68" s="925" t="s">
        <v>869</v>
      </c>
      <c r="B68" s="926"/>
      <c r="C68" s="927"/>
    </row>
    <row r="69" spans="1:3" ht="12.6" thickTop="1" x14ac:dyDescent="0.3">
      <c r="A69" s="687"/>
      <c r="B69" s="928" t="s">
        <v>870</v>
      </c>
      <c r="C69" s="929" t="s">
        <v>870</v>
      </c>
    </row>
    <row r="70" spans="1:3" x14ac:dyDescent="0.3">
      <c r="A70" s="683"/>
      <c r="B70" s="915" t="s">
        <v>871</v>
      </c>
      <c r="C70" s="916" t="s">
        <v>872</v>
      </c>
    </row>
    <row r="71" spans="1:3" x14ac:dyDescent="0.3">
      <c r="A71" s="683"/>
      <c r="B71" s="915" t="s">
        <v>873</v>
      </c>
      <c r="C71" s="916" t="s">
        <v>873</v>
      </c>
    </row>
    <row r="72" spans="1:3" ht="55.2" customHeight="1" x14ac:dyDescent="0.3">
      <c r="A72" s="683"/>
      <c r="B72" s="943" t="s">
        <v>874</v>
      </c>
      <c r="C72" s="944" t="s">
        <v>875</v>
      </c>
    </row>
    <row r="73" spans="1:3" ht="33.75" customHeight="1" x14ac:dyDescent="0.3">
      <c r="A73" s="683"/>
      <c r="B73" s="948" t="s">
        <v>876</v>
      </c>
      <c r="C73" s="949" t="s">
        <v>877</v>
      </c>
    </row>
    <row r="74" spans="1:3" ht="15.75" customHeight="1" x14ac:dyDescent="0.3">
      <c r="A74" s="683"/>
      <c r="B74" s="948" t="s">
        <v>878</v>
      </c>
      <c r="C74" s="949" t="s">
        <v>879</v>
      </c>
    </row>
    <row r="75" spans="1:3" x14ac:dyDescent="0.3">
      <c r="A75" s="683"/>
      <c r="B75" s="915" t="s">
        <v>880</v>
      </c>
      <c r="C75" s="916" t="s">
        <v>880</v>
      </c>
    </row>
    <row r="76" spans="1:3" ht="12.6" thickBot="1" x14ac:dyDescent="0.35">
      <c r="A76" s="691"/>
      <c r="B76" s="941" t="s">
        <v>881</v>
      </c>
      <c r="C76" s="942" t="s">
        <v>881</v>
      </c>
    </row>
    <row r="77" spans="1:3" ht="12.6" thickTop="1" x14ac:dyDescent="0.3">
      <c r="A77" s="945" t="s">
        <v>882</v>
      </c>
      <c r="B77" s="946"/>
      <c r="C77" s="947"/>
    </row>
    <row r="78" spans="1:3" x14ac:dyDescent="0.3">
      <c r="A78" s="683"/>
      <c r="B78" s="915" t="s">
        <v>866</v>
      </c>
      <c r="C78" s="916"/>
    </row>
    <row r="79" spans="1:3" x14ac:dyDescent="0.3">
      <c r="A79" s="683"/>
      <c r="B79" s="915" t="s">
        <v>883</v>
      </c>
      <c r="C79" s="916"/>
    </row>
    <row r="80" spans="1:3" x14ac:dyDescent="0.3">
      <c r="A80" s="683"/>
      <c r="B80" s="915" t="s">
        <v>884</v>
      </c>
      <c r="C80" s="916"/>
    </row>
    <row r="81" spans="1:3" x14ac:dyDescent="0.3">
      <c r="A81" s="945" t="s">
        <v>885</v>
      </c>
      <c r="B81" s="946"/>
      <c r="C81" s="947"/>
    </row>
    <row r="82" spans="1:3" x14ac:dyDescent="0.3">
      <c r="A82" s="683"/>
      <c r="B82" s="915" t="s">
        <v>866</v>
      </c>
      <c r="C82" s="916"/>
    </row>
    <row r="83" spans="1:3" x14ac:dyDescent="0.3">
      <c r="A83" s="683"/>
      <c r="B83" s="915" t="s">
        <v>886</v>
      </c>
      <c r="C83" s="916"/>
    </row>
    <row r="84" spans="1:3" ht="79.5" customHeight="1" x14ac:dyDescent="0.3">
      <c r="A84" s="683"/>
      <c r="B84" s="915" t="s">
        <v>887</v>
      </c>
      <c r="C84" s="916"/>
    </row>
    <row r="85" spans="1:3" ht="53.25" customHeight="1" x14ac:dyDescent="0.3">
      <c r="A85" s="683"/>
      <c r="B85" s="915" t="s">
        <v>888</v>
      </c>
      <c r="C85" s="916"/>
    </row>
    <row r="86" spans="1:3" x14ac:dyDescent="0.3">
      <c r="A86" s="683"/>
      <c r="B86" s="915" t="s">
        <v>889</v>
      </c>
      <c r="C86" s="916"/>
    </row>
    <row r="87" spans="1:3" x14ac:dyDescent="0.3">
      <c r="A87" s="683"/>
      <c r="B87" s="915" t="s">
        <v>890</v>
      </c>
      <c r="C87" s="916"/>
    </row>
    <row r="88" spans="1:3" x14ac:dyDescent="0.3">
      <c r="A88" s="683"/>
      <c r="B88" s="915" t="s">
        <v>891</v>
      </c>
      <c r="C88" s="916"/>
    </row>
    <row r="89" spans="1:3" x14ac:dyDescent="0.3">
      <c r="A89" s="945" t="s">
        <v>892</v>
      </c>
      <c r="B89" s="946"/>
      <c r="C89" s="947"/>
    </row>
    <row r="90" spans="1:3" x14ac:dyDescent="0.3">
      <c r="A90" s="683"/>
      <c r="B90" s="915" t="s">
        <v>866</v>
      </c>
      <c r="C90" s="916"/>
    </row>
    <row r="91" spans="1:3" x14ac:dyDescent="0.3">
      <c r="A91" s="683"/>
      <c r="B91" s="915" t="s">
        <v>893</v>
      </c>
      <c r="C91" s="916"/>
    </row>
    <row r="92" spans="1:3" ht="12" customHeight="1" x14ac:dyDescent="0.3">
      <c r="A92" s="683"/>
      <c r="B92" s="915" t="s">
        <v>894</v>
      </c>
      <c r="C92" s="916"/>
    </row>
    <row r="93" spans="1:3" x14ac:dyDescent="0.3">
      <c r="A93" s="683"/>
      <c r="B93" s="915" t="s">
        <v>895</v>
      </c>
      <c r="C93" s="916"/>
    </row>
    <row r="94" spans="1:3" ht="24.75" customHeight="1" x14ac:dyDescent="0.3">
      <c r="A94" s="683"/>
      <c r="B94" s="932" t="s">
        <v>896</v>
      </c>
      <c r="C94" s="933"/>
    </row>
    <row r="95" spans="1:3" ht="24" customHeight="1" x14ac:dyDescent="0.3">
      <c r="A95" s="683"/>
      <c r="B95" s="932" t="s">
        <v>897</v>
      </c>
      <c r="C95" s="933"/>
    </row>
    <row r="96" spans="1:3" ht="13.5" customHeight="1" x14ac:dyDescent="0.3">
      <c r="A96" s="683"/>
      <c r="B96" s="932" t="s">
        <v>898</v>
      </c>
      <c r="C96" s="933"/>
    </row>
    <row r="97" spans="1:3" ht="11.25" customHeight="1" thickBot="1" x14ac:dyDescent="0.35">
      <c r="A97" s="956" t="s">
        <v>899</v>
      </c>
      <c r="B97" s="957"/>
      <c r="C97" s="958"/>
    </row>
    <row r="98" spans="1:3" ht="13.2" thickTop="1" thickBot="1" x14ac:dyDescent="0.35">
      <c r="A98" s="959" t="s">
        <v>900</v>
      </c>
      <c r="B98" s="959"/>
      <c r="C98" s="959"/>
    </row>
    <row r="99" spans="1:3" x14ac:dyDescent="0.3">
      <c r="A99" s="693">
        <v>2</v>
      </c>
      <c r="B99" s="694" t="s">
        <v>496</v>
      </c>
      <c r="C99" s="694" t="s">
        <v>901</v>
      </c>
    </row>
    <row r="100" spans="1:3" x14ac:dyDescent="0.3">
      <c r="A100" s="695">
        <v>3</v>
      </c>
      <c r="B100" s="696" t="s">
        <v>497</v>
      </c>
      <c r="C100" s="697" t="s">
        <v>902</v>
      </c>
    </row>
    <row r="101" spans="1:3" x14ac:dyDescent="0.3">
      <c r="A101" s="695">
        <v>4</v>
      </c>
      <c r="B101" s="696" t="s">
        <v>498</v>
      </c>
      <c r="C101" s="697" t="s">
        <v>903</v>
      </c>
    </row>
    <row r="102" spans="1:3" ht="11.25" customHeight="1" x14ac:dyDescent="0.3">
      <c r="A102" s="695">
        <v>5</v>
      </c>
      <c r="B102" s="696" t="s">
        <v>499</v>
      </c>
      <c r="C102" s="697" t="s">
        <v>904</v>
      </c>
    </row>
    <row r="103" spans="1:3" ht="12" customHeight="1" x14ac:dyDescent="0.3">
      <c r="A103" s="695">
        <v>6</v>
      </c>
      <c r="B103" s="696" t="s">
        <v>500</v>
      </c>
      <c r="C103" s="697" t="s">
        <v>905</v>
      </c>
    </row>
    <row r="104" spans="1:3" ht="12" customHeight="1" x14ac:dyDescent="0.3">
      <c r="A104" s="695">
        <v>7</v>
      </c>
      <c r="B104" s="696" t="s">
        <v>501</v>
      </c>
      <c r="C104" s="697" t="s">
        <v>906</v>
      </c>
    </row>
    <row r="105" spans="1:3" x14ac:dyDescent="0.3">
      <c r="A105" s="695">
        <v>8</v>
      </c>
      <c r="B105" s="696" t="s">
        <v>506</v>
      </c>
      <c r="C105" s="697" t="s">
        <v>907</v>
      </c>
    </row>
    <row r="106" spans="1:3" ht="11.25" customHeight="1" x14ac:dyDescent="0.3">
      <c r="A106" s="945" t="s">
        <v>908</v>
      </c>
      <c r="B106" s="946"/>
      <c r="C106" s="947"/>
    </row>
    <row r="107" spans="1:3" ht="12" customHeight="1" x14ac:dyDescent="0.3">
      <c r="A107" s="683"/>
      <c r="B107" s="915" t="s">
        <v>909</v>
      </c>
      <c r="C107" s="916"/>
    </row>
    <row r="108" spans="1:3" x14ac:dyDescent="0.3">
      <c r="A108" s="945" t="s">
        <v>910</v>
      </c>
      <c r="B108" s="946"/>
      <c r="C108" s="947"/>
    </row>
    <row r="109" spans="1:3" ht="12" customHeight="1" x14ac:dyDescent="0.3">
      <c r="A109" s="683"/>
      <c r="B109" s="915" t="s">
        <v>911</v>
      </c>
      <c r="C109" s="916"/>
    </row>
    <row r="110" spans="1:3" x14ac:dyDescent="0.3">
      <c r="A110" s="683"/>
      <c r="B110" s="915" t="s">
        <v>912</v>
      </c>
      <c r="C110" s="916"/>
    </row>
    <row r="111" spans="1:3" x14ac:dyDescent="0.3">
      <c r="A111" s="683"/>
      <c r="B111" s="915" t="s">
        <v>913</v>
      </c>
      <c r="C111" s="916"/>
    </row>
    <row r="112" spans="1:3" x14ac:dyDescent="0.3">
      <c r="A112" s="950" t="s">
        <v>914</v>
      </c>
      <c r="B112" s="950"/>
      <c r="C112" s="950"/>
    </row>
    <row r="113" spans="1:3" x14ac:dyDescent="0.3">
      <c r="A113" s="951" t="s">
        <v>780</v>
      </c>
      <c r="B113" s="951"/>
      <c r="C113" s="951"/>
    </row>
    <row r="114" spans="1:3" x14ac:dyDescent="0.3">
      <c r="A114" s="698">
        <v>1</v>
      </c>
      <c r="B114" s="952" t="s">
        <v>915</v>
      </c>
      <c r="C114" s="953"/>
    </row>
    <row r="115" spans="1:3" x14ac:dyDescent="0.3">
      <c r="A115" s="698">
        <v>2</v>
      </c>
      <c r="B115" s="954" t="s">
        <v>916</v>
      </c>
      <c r="C115" s="955"/>
    </row>
    <row r="116" spans="1:3" x14ac:dyDescent="0.3">
      <c r="A116" s="698">
        <v>3</v>
      </c>
      <c r="B116" s="952" t="s">
        <v>917</v>
      </c>
      <c r="C116" s="953"/>
    </row>
    <row r="117" spans="1:3" x14ac:dyDescent="0.3">
      <c r="A117" s="698">
        <v>4</v>
      </c>
      <c r="B117" s="952" t="s">
        <v>918</v>
      </c>
      <c r="C117" s="953"/>
    </row>
    <row r="118" spans="1:3" x14ac:dyDescent="0.3">
      <c r="A118" s="698">
        <v>5</v>
      </c>
      <c r="B118" s="699" t="s">
        <v>919</v>
      </c>
      <c r="C118" s="700"/>
    </row>
    <row r="119" spans="1:3" x14ac:dyDescent="0.3">
      <c r="A119" s="698">
        <v>6</v>
      </c>
      <c r="B119" s="964" t="s">
        <v>920</v>
      </c>
      <c r="C119" s="965"/>
    </row>
    <row r="120" spans="1:3" ht="48.45" customHeight="1" x14ac:dyDescent="0.3">
      <c r="A120" s="698">
        <v>7</v>
      </c>
      <c r="B120" s="964" t="s">
        <v>921</v>
      </c>
      <c r="C120" s="965"/>
    </row>
    <row r="121" spans="1:3" x14ac:dyDescent="0.3">
      <c r="A121" s="701">
        <v>8</v>
      </c>
      <c r="B121" s="702" t="s">
        <v>922</v>
      </c>
      <c r="C121" s="703" t="s">
        <v>923</v>
      </c>
    </row>
    <row r="122" spans="1:3" ht="24" x14ac:dyDescent="0.3">
      <c r="A122" s="698">
        <v>9.01</v>
      </c>
      <c r="B122" s="702" t="s">
        <v>629</v>
      </c>
      <c r="C122" s="684" t="s">
        <v>924</v>
      </c>
    </row>
    <row r="123" spans="1:3" ht="36" x14ac:dyDescent="0.3">
      <c r="A123" s="698">
        <v>9.02</v>
      </c>
      <c r="B123" s="702" t="s">
        <v>630</v>
      </c>
      <c r="C123" s="684" t="s">
        <v>925</v>
      </c>
    </row>
    <row r="124" spans="1:3" x14ac:dyDescent="0.3">
      <c r="A124" s="698">
        <v>9.0299999999999994</v>
      </c>
      <c r="B124" s="684" t="s">
        <v>631</v>
      </c>
      <c r="C124" s="684" t="s">
        <v>926</v>
      </c>
    </row>
    <row r="125" spans="1:3" x14ac:dyDescent="0.3">
      <c r="A125" s="698">
        <v>9.0399999999999991</v>
      </c>
      <c r="B125" s="702" t="s">
        <v>632</v>
      </c>
      <c r="C125" s="684" t="s">
        <v>927</v>
      </c>
    </row>
    <row r="126" spans="1:3" x14ac:dyDescent="0.3">
      <c r="A126" s="698">
        <v>9.0500000000000007</v>
      </c>
      <c r="B126" s="702" t="s">
        <v>633</v>
      </c>
      <c r="C126" s="684" t="s">
        <v>928</v>
      </c>
    </row>
    <row r="127" spans="1:3" ht="24" x14ac:dyDescent="0.3">
      <c r="A127" s="698">
        <v>9.06</v>
      </c>
      <c r="B127" s="702" t="s">
        <v>634</v>
      </c>
      <c r="C127" s="684" t="s">
        <v>929</v>
      </c>
    </row>
    <row r="128" spans="1:3" x14ac:dyDescent="0.3">
      <c r="A128" s="698">
        <v>9.07</v>
      </c>
      <c r="B128" s="704" t="s">
        <v>636</v>
      </c>
      <c r="C128" s="684" t="s">
        <v>930</v>
      </c>
    </row>
    <row r="129" spans="1:3" ht="24" x14ac:dyDescent="0.3">
      <c r="A129" s="698">
        <v>9.08</v>
      </c>
      <c r="B129" s="702" t="s">
        <v>637</v>
      </c>
      <c r="C129" s="684" t="s">
        <v>931</v>
      </c>
    </row>
    <row r="130" spans="1:3" ht="24" x14ac:dyDescent="0.3">
      <c r="A130" s="698">
        <v>9.09</v>
      </c>
      <c r="B130" s="702" t="s">
        <v>638</v>
      </c>
      <c r="C130" s="684" t="s">
        <v>932</v>
      </c>
    </row>
    <row r="131" spans="1:3" x14ac:dyDescent="0.3">
      <c r="A131" s="705">
        <v>9.1</v>
      </c>
      <c r="B131" s="702" t="s">
        <v>639</v>
      </c>
      <c r="C131" s="684" t="s">
        <v>933</v>
      </c>
    </row>
    <row r="132" spans="1:3" x14ac:dyDescent="0.3">
      <c r="A132" s="698">
        <v>9.11</v>
      </c>
      <c r="B132" s="702" t="s">
        <v>640</v>
      </c>
      <c r="C132" s="684" t="s">
        <v>934</v>
      </c>
    </row>
    <row r="133" spans="1:3" x14ac:dyDescent="0.3">
      <c r="A133" s="698">
        <v>9.1199999999999992</v>
      </c>
      <c r="B133" s="702" t="s">
        <v>641</v>
      </c>
      <c r="C133" s="684" t="s">
        <v>935</v>
      </c>
    </row>
    <row r="134" spans="1:3" x14ac:dyDescent="0.3">
      <c r="A134" s="698">
        <v>9.1300000000000008</v>
      </c>
      <c r="B134" s="702" t="s">
        <v>642</v>
      </c>
      <c r="C134" s="684" t="s">
        <v>936</v>
      </c>
    </row>
    <row r="135" spans="1:3" x14ac:dyDescent="0.3">
      <c r="A135" s="698">
        <v>9.14</v>
      </c>
      <c r="B135" s="702" t="s">
        <v>643</v>
      </c>
      <c r="C135" s="684" t="s">
        <v>937</v>
      </c>
    </row>
    <row r="136" spans="1:3" x14ac:dyDescent="0.3">
      <c r="A136" s="698">
        <v>9.15</v>
      </c>
      <c r="B136" s="702" t="s">
        <v>644</v>
      </c>
      <c r="C136" s="684" t="s">
        <v>938</v>
      </c>
    </row>
    <row r="137" spans="1:3" x14ac:dyDescent="0.3">
      <c r="A137" s="698">
        <v>9.16</v>
      </c>
      <c r="B137" s="702" t="s">
        <v>645</v>
      </c>
      <c r="C137" s="684" t="s">
        <v>939</v>
      </c>
    </row>
    <row r="138" spans="1:3" x14ac:dyDescent="0.3">
      <c r="A138" s="698">
        <v>9.17</v>
      </c>
      <c r="B138" s="684" t="s">
        <v>646</v>
      </c>
      <c r="C138" s="684" t="s">
        <v>940</v>
      </c>
    </row>
    <row r="139" spans="1:3" ht="24" x14ac:dyDescent="0.3">
      <c r="A139" s="698">
        <v>9.18</v>
      </c>
      <c r="B139" s="702" t="s">
        <v>647</v>
      </c>
      <c r="C139" s="684" t="s">
        <v>941</v>
      </c>
    </row>
    <row r="140" spans="1:3" x14ac:dyDescent="0.3">
      <c r="A140" s="698">
        <v>9.19</v>
      </c>
      <c r="B140" s="702" t="s">
        <v>648</v>
      </c>
      <c r="C140" s="684" t="s">
        <v>942</v>
      </c>
    </row>
    <row r="141" spans="1:3" x14ac:dyDescent="0.3">
      <c r="A141" s="705">
        <v>9.1999999999999993</v>
      </c>
      <c r="B141" s="702" t="s">
        <v>649</v>
      </c>
      <c r="C141" s="684" t="s">
        <v>943</v>
      </c>
    </row>
    <row r="142" spans="1:3" x14ac:dyDescent="0.3">
      <c r="A142" s="698">
        <v>9.2100000000000009</v>
      </c>
      <c r="B142" s="702" t="s">
        <v>650</v>
      </c>
      <c r="C142" s="684" t="s">
        <v>944</v>
      </c>
    </row>
    <row r="143" spans="1:3" x14ac:dyDescent="0.3">
      <c r="A143" s="698">
        <v>9.2200000000000006</v>
      </c>
      <c r="B143" s="702" t="s">
        <v>651</v>
      </c>
      <c r="C143" s="684" t="s">
        <v>945</v>
      </c>
    </row>
    <row r="144" spans="1:3" ht="24" x14ac:dyDescent="0.3">
      <c r="A144" s="698">
        <v>9.23</v>
      </c>
      <c r="B144" s="702" t="s">
        <v>652</v>
      </c>
      <c r="C144" s="684" t="s">
        <v>946</v>
      </c>
    </row>
    <row r="145" spans="1:3" ht="24" x14ac:dyDescent="0.3">
      <c r="A145" s="698">
        <v>9.24</v>
      </c>
      <c r="B145" s="702" t="s">
        <v>653</v>
      </c>
      <c r="C145" s="684" t="s">
        <v>947</v>
      </c>
    </row>
    <row r="146" spans="1:3" x14ac:dyDescent="0.3">
      <c r="A146" s="698">
        <v>9.2500000000000107</v>
      </c>
      <c r="B146" s="702" t="s">
        <v>217</v>
      </c>
      <c r="C146" s="684" t="s">
        <v>948</v>
      </c>
    </row>
    <row r="147" spans="1:3" ht="24" x14ac:dyDescent="0.3">
      <c r="A147" s="698">
        <v>9.2600000000000193</v>
      </c>
      <c r="B147" s="702" t="s">
        <v>949</v>
      </c>
      <c r="C147" s="688" t="s">
        <v>950</v>
      </c>
    </row>
    <row r="148" spans="1:3" s="706" customFormat="1" ht="24" x14ac:dyDescent="0.3">
      <c r="A148" s="698">
        <v>9.2700000000000298</v>
      </c>
      <c r="B148" s="702" t="s">
        <v>122</v>
      </c>
      <c r="C148" s="688" t="s">
        <v>951</v>
      </c>
    </row>
    <row r="149" spans="1:3" s="706" customFormat="1" x14ac:dyDescent="0.3">
      <c r="A149" s="683"/>
      <c r="B149" s="960" t="s">
        <v>952</v>
      </c>
      <c r="C149" s="961"/>
    </row>
    <row r="150" spans="1:3" s="706" customFormat="1" x14ac:dyDescent="0.3">
      <c r="A150" s="701">
        <v>1</v>
      </c>
      <c r="B150" s="915" t="s">
        <v>953</v>
      </c>
      <c r="C150" s="916"/>
    </row>
    <row r="151" spans="1:3" s="706" customFormat="1" x14ac:dyDescent="0.3">
      <c r="A151" s="701">
        <v>2</v>
      </c>
      <c r="B151" s="915" t="s">
        <v>954</v>
      </c>
      <c r="C151" s="916"/>
    </row>
    <row r="152" spans="1:3" s="706" customFormat="1" x14ac:dyDescent="0.3">
      <c r="A152" s="701">
        <v>3</v>
      </c>
      <c r="B152" s="915" t="s">
        <v>955</v>
      </c>
      <c r="C152" s="916"/>
    </row>
    <row r="153" spans="1:3" s="706" customFormat="1" x14ac:dyDescent="0.3">
      <c r="A153" s="683"/>
      <c r="B153" s="960" t="s">
        <v>956</v>
      </c>
      <c r="C153" s="961"/>
    </row>
    <row r="154" spans="1:3" s="706" customFormat="1" x14ac:dyDescent="0.3">
      <c r="A154" s="701">
        <v>1</v>
      </c>
      <c r="B154" s="962" t="s">
        <v>957</v>
      </c>
      <c r="C154" s="963"/>
    </row>
    <row r="155" spans="1:3" s="706" customFormat="1" x14ac:dyDescent="0.3">
      <c r="A155" s="701">
        <v>2</v>
      </c>
      <c r="B155" s="702" t="s">
        <v>618</v>
      </c>
      <c r="C155" s="707" t="s">
        <v>958</v>
      </c>
    </row>
    <row r="156" spans="1:3" ht="24" x14ac:dyDescent="0.3">
      <c r="A156" s="701">
        <v>3</v>
      </c>
      <c r="B156" s="702" t="s">
        <v>619</v>
      </c>
      <c r="C156" s="703" t="s">
        <v>959</v>
      </c>
    </row>
    <row r="157" spans="1:3" x14ac:dyDescent="0.3">
      <c r="A157" s="701">
        <v>4</v>
      </c>
      <c r="B157" s="702" t="s">
        <v>620</v>
      </c>
      <c r="C157" s="702" t="s">
        <v>960</v>
      </c>
    </row>
    <row r="158" spans="1:3" ht="25.2" customHeight="1" x14ac:dyDescent="0.3">
      <c r="A158" s="683"/>
      <c r="B158" s="960" t="s">
        <v>961</v>
      </c>
      <c r="C158" s="961"/>
    </row>
    <row r="159" spans="1:3" ht="36" x14ac:dyDescent="0.3">
      <c r="A159" s="701"/>
      <c r="B159" s="702" t="s">
        <v>962</v>
      </c>
      <c r="C159" s="708" t="s">
        <v>963</v>
      </c>
    </row>
    <row r="160" spans="1:3" x14ac:dyDescent="0.3">
      <c r="A160" s="683"/>
      <c r="B160" s="960" t="s">
        <v>964</v>
      </c>
      <c r="C160" s="961"/>
    </row>
    <row r="161" spans="1:3" ht="39" customHeight="1" x14ac:dyDescent="0.3">
      <c r="A161" s="683"/>
      <c r="B161" s="915" t="s">
        <v>965</v>
      </c>
      <c r="C161" s="916"/>
    </row>
    <row r="162" spans="1:3" x14ac:dyDescent="0.3">
      <c r="A162" s="683" t="s">
        <v>966</v>
      </c>
      <c r="B162" s="709" t="s">
        <v>672</v>
      </c>
      <c r="C162" s="710" t="s">
        <v>967</v>
      </c>
    </row>
    <row r="163" spans="1:3" x14ac:dyDescent="0.3">
      <c r="A163" s="683" t="s">
        <v>360</v>
      </c>
      <c r="B163" s="711" t="s">
        <v>673</v>
      </c>
      <c r="C163" s="703" t="s">
        <v>968</v>
      </c>
    </row>
    <row r="164" spans="1:3" ht="24" x14ac:dyDescent="0.3">
      <c r="A164" s="683" t="s">
        <v>368</v>
      </c>
      <c r="B164" s="710" t="s">
        <v>674</v>
      </c>
      <c r="C164" s="703" t="s">
        <v>969</v>
      </c>
    </row>
    <row r="165" spans="1:3" x14ac:dyDescent="0.3">
      <c r="A165" s="683" t="s">
        <v>970</v>
      </c>
      <c r="B165" s="711" t="s">
        <v>675</v>
      </c>
      <c r="C165" s="712" t="s">
        <v>971</v>
      </c>
    </row>
    <row r="166" spans="1:3" ht="24" x14ac:dyDescent="0.3">
      <c r="A166" s="683" t="s">
        <v>972</v>
      </c>
      <c r="B166" s="711" t="s">
        <v>676</v>
      </c>
      <c r="C166" s="713" t="s">
        <v>973</v>
      </c>
    </row>
    <row r="167" spans="1:3" ht="24" x14ac:dyDescent="0.3">
      <c r="A167" s="683" t="s">
        <v>377</v>
      </c>
      <c r="B167" s="711" t="s">
        <v>677</v>
      </c>
      <c r="C167" s="713" t="s">
        <v>974</v>
      </c>
    </row>
    <row r="168" spans="1:3" ht="24" x14ac:dyDescent="0.3">
      <c r="A168" s="683" t="s">
        <v>975</v>
      </c>
      <c r="B168" s="714" t="s">
        <v>678</v>
      </c>
      <c r="C168" s="715" t="s">
        <v>976</v>
      </c>
    </row>
    <row r="169" spans="1:3" ht="24" x14ac:dyDescent="0.3">
      <c r="A169" s="683" t="s">
        <v>977</v>
      </c>
      <c r="B169" s="714" t="s">
        <v>679</v>
      </c>
      <c r="C169" s="713" t="s">
        <v>978</v>
      </c>
    </row>
    <row r="170" spans="1:3" ht="26.7" customHeight="1" x14ac:dyDescent="0.3">
      <c r="A170" s="683" t="s">
        <v>979</v>
      </c>
      <c r="B170" s="714" t="s">
        <v>680</v>
      </c>
      <c r="C170" s="715" t="s">
        <v>980</v>
      </c>
    </row>
    <row r="171" spans="1:3" x14ac:dyDescent="0.3">
      <c r="A171" s="683" t="s">
        <v>981</v>
      </c>
      <c r="B171" s="684" t="s">
        <v>681</v>
      </c>
      <c r="C171" s="715" t="s">
        <v>982</v>
      </c>
    </row>
    <row r="172" spans="1:3" ht="24" x14ac:dyDescent="0.3">
      <c r="A172" s="683" t="s">
        <v>983</v>
      </c>
      <c r="B172" s="714" t="s">
        <v>682</v>
      </c>
      <c r="C172" s="716" t="s">
        <v>984</v>
      </c>
    </row>
    <row r="173" spans="1:3" x14ac:dyDescent="0.3">
      <c r="A173" s="683" t="s">
        <v>985</v>
      </c>
      <c r="B173" s="717" t="s">
        <v>683</v>
      </c>
      <c r="C173" s="710" t="s">
        <v>986</v>
      </c>
    </row>
    <row r="174" spans="1:3" ht="24" x14ac:dyDescent="0.3">
      <c r="A174" s="683"/>
      <c r="B174" s="713" t="s">
        <v>987</v>
      </c>
      <c r="C174" s="684" t="s">
        <v>988</v>
      </c>
    </row>
    <row r="175" spans="1:3" ht="24" x14ac:dyDescent="0.3">
      <c r="A175" s="683"/>
      <c r="B175" s="713" t="s">
        <v>989</v>
      </c>
      <c r="C175" s="684" t="s">
        <v>990</v>
      </c>
    </row>
    <row r="176" spans="1:3" ht="24" x14ac:dyDescent="0.3">
      <c r="A176" s="683"/>
      <c r="B176" s="713" t="s">
        <v>991</v>
      </c>
      <c r="C176" s="684" t="s">
        <v>992</v>
      </c>
    </row>
    <row r="177" spans="1:3" x14ac:dyDescent="0.3">
      <c r="A177" s="683"/>
      <c r="B177" s="960" t="s">
        <v>993</v>
      </c>
      <c r="C177" s="961"/>
    </row>
    <row r="178" spans="1:3" x14ac:dyDescent="0.3">
      <c r="A178" s="683"/>
      <c r="B178" s="915" t="s">
        <v>994</v>
      </c>
      <c r="C178" s="916"/>
    </row>
    <row r="179" spans="1:3" x14ac:dyDescent="0.3">
      <c r="A179" s="701">
        <v>1</v>
      </c>
      <c r="B179" s="684" t="s">
        <v>699</v>
      </c>
      <c r="C179" s="684" t="s">
        <v>699</v>
      </c>
    </row>
    <row r="180" spans="1:3" ht="24" x14ac:dyDescent="0.3">
      <c r="A180" s="701">
        <v>2</v>
      </c>
      <c r="B180" s="684" t="s">
        <v>995</v>
      </c>
      <c r="C180" s="684" t="s">
        <v>996</v>
      </c>
    </row>
    <row r="181" spans="1:3" x14ac:dyDescent="0.3">
      <c r="A181" s="701">
        <v>3</v>
      </c>
      <c r="B181" s="684" t="s">
        <v>701</v>
      </c>
      <c r="C181" s="684" t="s">
        <v>997</v>
      </c>
    </row>
    <row r="182" spans="1:3" ht="24" x14ac:dyDescent="0.3">
      <c r="A182" s="701">
        <v>4</v>
      </c>
      <c r="B182" s="684" t="s">
        <v>702</v>
      </c>
      <c r="C182" s="684" t="s">
        <v>998</v>
      </c>
    </row>
    <row r="183" spans="1:3" ht="24" x14ac:dyDescent="0.3">
      <c r="A183" s="701">
        <v>5</v>
      </c>
      <c r="B183" s="684" t="s">
        <v>703</v>
      </c>
      <c r="C183" s="684" t="s">
        <v>999</v>
      </c>
    </row>
    <row r="184" spans="1:3" ht="48" x14ac:dyDescent="0.3">
      <c r="A184" s="701">
        <v>6</v>
      </c>
      <c r="B184" s="684" t="s">
        <v>704</v>
      </c>
      <c r="C184" s="684" t="s">
        <v>1000</v>
      </c>
    </row>
    <row r="185" spans="1:3" x14ac:dyDescent="0.3">
      <c r="A185" s="683"/>
      <c r="B185" s="960" t="s">
        <v>1001</v>
      </c>
      <c r="C185" s="961"/>
    </row>
    <row r="186" spans="1:3" x14ac:dyDescent="0.3">
      <c r="A186" s="683"/>
      <c r="B186" s="967" t="s">
        <v>1002</v>
      </c>
      <c r="C186" s="962"/>
    </row>
    <row r="187" spans="1:3" ht="24" x14ac:dyDescent="0.3">
      <c r="A187" s="683">
        <v>1.1000000000000001</v>
      </c>
      <c r="B187" s="718" t="s">
        <v>714</v>
      </c>
      <c r="C187" s="684" t="s">
        <v>1003</v>
      </c>
    </row>
    <row r="188" spans="1:3" ht="49.95" customHeight="1" x14ac:dyDescent="0.3">
      <c r="A188" s="683" t="s">
        <v>242</v>
      </c>
      <c r="B188" s="719" t="s">
        <v>715</v>
      </c>
      <c r="C188" s="684" t="s">
        <v>1004</v>
      </c>
    </row>
    <row r="189" spans="1:3" x14ac:dyDescent="0.3">
      <c r="A189" s="683" t="s">
        <v>716</v>
      </c>
      <c r="B189" s="720" t="s">
        <v>717</v>
      </c>
      <c r="C189" s="924" t="s">
        <v>1005</v>
      </c>
    </row>
    <row r="190" spans="1:3" x14ac:dyDescent="0.3">
      <c r="A190" s="683" t="s">
        <v>718</v>
      </c>
      <c r="B190" s="720" t="s">
        <v>719</v>
      </c>
      <c r="C190" s="924"/>
    </row>
    <row r="191" spans="1:3" x14ac:dyDescent="0.3">
      <c r="A191" s="683" t="s">
        <v>720</v>
      </c>
      <c r="B191" s="720" t="s">
        <v>721</v>
      </c>
      <c r="C191" s="924"/>
    </row>
    <row r="192" spans="1:3" x14ac:dyDescent="0.3">
      <c r="A192" s="683" t="s">
        <v>722</v>
      </c>
      <c r="B192" s="720" t="s">
        <v>723</v>
      </c>
      <c r="C192" s="924"/>
    </row>
    <row r="193" spans="1:4" ht="25.5" customHeight="1" x14ac:dyDescent="0.3">
      <c r="A193" s="683">
        <v>1.2</v>
      </c>
      <c r="B193" s="721" t="s">
        <v>724</v>
      </c>
      <c r="C193" s="722" t="s">
        <v>1006</v>
      </c>
    </row>
    <row r="194" spans="1:4" ht="24" x14ac:dyDescent="0.3">
      <c r="A194" s="683" t="s">
        <v>726</v>
      </c>
      <c r="B194" s="723" t="s">
        <v>727</v>
      </c>
      <c r="C194" s="724" t="s">
        <v>1007</v>
      </c>
    </row>
    <row r="195" spans="1:4" ht="24" x14ac:dyDescent="0.3">
      <c r="A195" s="683" t="s">
        <v>728</v>
      </c>
      <c r="B195" s="725" t="s">
        <v>729</v>
      </c>
      <c r="C195" s="724" t="s">
        <v>1008</v>
      </c>
    </row>
    <row r="196" spans="1:4" ht="25.95" customHeight="1" x14ac:dyDescent="0.3">
      <c r="A196" s="683" t="s">
        <v>730</v>
      </c>
      <c r="B196" s="726" t="s">
        <v>731</v>
      </c>
      <c r="C196" s="702" t="s">
        <v>1009</v>
      </c>
    </row>
    <row r="197" spans="1:4" ht="24" x14ac:dyDescent="0.3">
      <c r="A197" s="683" t="s">
        <v>732</v>
      </c>
      <c r="B197" s="727" t="s">
        <v>733</v>
      </c>
      <c r="C197" s="702" t="s">
        <v>1010</v>
      </c>
      <c r="D197" s="728"/>
    </row>
    <row r="198" spans="1:4" ht="12.6" x14ac:dyDescent="0.3">
      <c r="A198" s="683">
        <v>1.4</v>
      </c>
      <c r="B198" s="723" t="s">
        <v>734</v>
      </c>
      <c r="C198" s="729" t="s">
        <v>1011</v>
      </c>
      <c r="D198" s="730"/>
    </row>
    <row r="199" spans="1:4" ht="12.6" x14ac:dyDescent="0.3">
      <c r="A199" s="683">
        <v>1.5</v>
      </c>
      <c r="B199" s="723" t="s">
        <v>735</v>
      </c>
      <c r="C199" s="729" t="s">
        <v>1011</v>
      </c>
      <c r="D199" s="731"/>
    </row>
    <row r="200" spans="1:4" ht="12.6" x14ac:dyDescent="0.3">
      <c r="A200" s="683"/>
      <c r="B200" s="950" t="s">
        <v>1012</v>
      </c>
      <c r="C200" s="950"/>
      <c r="D200" s="731"/>
    </row>
    <row r="201" spans="1:4" ht="12.6" x14ac:dyDescent="0.3">
      <c r="A201" s="683"/>
      <c r="B201" s="967" t="s">
        <v>1013</v>
      </c>
      <c r="C201" s="967"/>
      <c r="D201" s="731"/>
    </row>
    <row r="202" spans="1:4" ht="12.6" x14ac:dyDescent="0.3">
      <c r="A202" s="701"/>
      <c r="B202" s="702" t="s">
        <v>962</v>
      </c>
      <c r="C202" s="708" t="s">
        <v>958</v>
      </c>
      <c r="D202" s="731"/>
    </row>
    <row r="203" spans="1:4" ht="12.6" x14ac:dyDescent="0.3">
      <c r="A203" s="683"/>
      <c r="B203" s="950" t="s">
        <v>1014</v>
      </c>
      <c r="C203" s="950"/>
      <c r="D203" s="732"/>
    </row>
    <row r="204" spans="1:4" ht="12.6" x14ac:dyDescent="0.3">
      <c r="A204" s="701"/>
      <c r="B204" s="967" t="s">
        <v>1015</v>
      </c>
      <c r="C204" s="967"/>
      <c r="D204" s="733"/>
    </row>
    <row r="205" spans="1:4" ht="12.6" x14ac:dyDescent="0.3">
      <c r="B205" s="950" t="s">
        <v>1016</v>
      </c>
      <c r="C205" s="950"/>
      <c r="D205" s="735"/>
    </row>
    <row r="206" spans="1:4" ht="24" x14ac:dyDescent="0.3">
      <c r="A206" s="719">
        <v>1</v>
      </c>
      <c r="B206" s="702" t="s">
        <v>767</v>
      </c>
      <c r="C206" s="702" t="s">
        <v>1017</v>
      </c>
      <c r="D206" s="733"/>
    </row>
    <row r="207" spans="1:4" ht="18" customHeight="1" x14ac:dyDescent="0.3">
      <c r="A207" s="719">
        <v>2</v>
      </c>
      <c r="B207" s="702" t="s">
        <v>635</v>
      </c>
      <c r="C207" s="702" t="s">
        <v>1018</v>
      </c>
      <c r="D207" s="735"/>
    </row>
    <row r="208" spans="1:4" ht="24" x14ac:dyDescent="0.3">
      <c r="A208" s="719">
        <v>3</v>
      </c>
      <c r="B208" s="702" t="s">
        <v>768</v>
      </c>
      <c r="C208" s="702" t="s">
        <v>1019</v>
      </c>
      <c r="D208" s="736"/>
    </row>
    <row r="209" spans="1:4" ht="12.6" x14ac:dyDescent="0.3">
      <c r="A209" s="719">
        <v>4</v>
      </c>
      <c r="B209" s="702" t="s">
        <v>769</v>
      </c>
      <c r="C209" s="702" t="s">
        <v>1020</v>
      </c>
      <c r="D209" s="736"/>
    </row>
    <row r="210" spans="1:4" ht="24" x14ac:dyDescent="0.3">
      <c r="A210" s="719">
        <v>5</v>
      </c>
      <c r="B210" s="702" t="s">
        <v>770</v>
      </c>
      <c r="C210" s="702" t="s">
        <v>1021</v>
      </c>
    </row>
    <row r="211" spans="1:4" ht="24.45" customHeight="1" x14ac:dyDescent="0.3">
      <c r="A211" s="719">
        <v>6</v>
      </c>
      <c r="B211" s="702" t="s">
        <v>771</v>
      </c>
      <c r="C211" s="702" t="s">
        <v>1022</v>
      </c>
    </row>
    <row r="212" spans="1:4" ht="24" x14ac:dyDescent="0.3">
      <c r="A212" s="719">
        <v>7</v>
      </c>
      <c r="B212" s="702" t="s">
        <v>772</v>
      </c>
      <c r="C212" s="702" t="s">
        <v>1023</v>
      </c>
    </row>
    <row r="213" spans="1:4" x14ac:dyDescent="0.3">
      <c r="A213" s="719">
        <v>7.1</v>
      </c>
      <c r="B213" s="737" t="s">
        <v>773</v>
      </c>
      <c r="C213" s="702" t="s">
        <v>1024</v>
      </c>
    </row>
    <row r="214" spans="1:4" x14ac:dyDescent="0.3">
      <c r="A214" s="719">
        <v>7.2</v>
      </c>
      <c r="B214" s="737" t="s">
        <v>774</v>
      </c>
      <c r="C214" s="702" t="s">
        <v>1025</v>
      </c>
    </row>
    <row r="215" spans="1:4" x14ac:dyDescent="0.3">
      <c r="A215" s="719">
        <v>7.3</v>
      </c>
      <c r="B215" s="738" t="s">
        <v>775</v>
      </c>
      <c r="C215" s="702" t="s">
        <v>1026</v>
      </c>
    </row>
    <row r="216" spans="1:4" ht="39.450000000000003" customHeight="1" x14ac:dyDescent="0.3">
      <c r="A216" s="719">
        <v>8</v>
      </c>
      <c r="B216" s="702" t="s">
        <v>776</v>
      </c>
      <c r="C216" s="702" t="s">
        <v>1027</v>
      </c>
    </row>
    <row r="217" spans="1:4" x14ac:dyDescent="0.3">
      <c r="A217" s="719">
        <v>9</v>
      </c>
      <c r="B217" s="702" t="s">
        <v>777</v>
      </c>
      <c r="C217" s="702" t="s">
        <v>1028</v>
      </c>
    </row>
    <row r="218" spans="1:4" x14ac:dyDescent="0.3">
      <c r="A218" s="739">
        <v>10.1</v>
      </c>
      <c r="B218" s="740" t="s">
        <v>1029</v>
      </c>
      <c r="C218" s="741" t="s">
        <v>1030</v>
      </c>
    </row>
    <row r="219" spans="1:4" x14ac:dyDescent="0.3">
      <c r="A219" s="968"/>
      <c r="B219" s="742" t="s">
        <v>761</v>
      </c>
      <c r="C219" s="702" t="s">
        <v>1031</v>
      </c>
    </row>
    <row r="220" spans="1:4" x14ac:dyDescent="0.3">
      <c r="A220" s="968"/>
      <c r="B220" s="684" t="s">
        <v>708</v>
      </c>
      <c r="C220" s="702" t="s">
        <v>1032</v>
      </c>
    </row>
    <row r="221" spans="1:4" x14ac:dyDescent="0.3">
      <c r="A221" s="968"/>
      <c r="B221" s="684" t="s">
        <v>738</v>
      </c>
      <c r="C221" s="722" t="s">
        <v>1033</v>
      </c>
    </row>
    <row r="222" spans="1:4" x14ac:dyDescent="0.3">
      <c r="A222" s="968"/>
      <c r="B222" s="684" t="s">
        <v>762</v>
      </c>
      <c r="C222" s="702" t="s">
        <v>1034</v>
      </c>
    </row>
    <row r="223" spans="1:4" ht="24" x14ac:dyDescent="0.3">
      <c r="A223" s="968"/>
      <c r="B223" s="684" t="s">
        <v>763</v>
      </c>
      <c r="C223" s="684" t="s">
        <v>1035</v>
      </c>
    </row>
    <row r="224" spans="1:4" ht="36" x14ac:dyDescent="0.3">
      <c r="A224" s="968"/>
      <c r="B224" s="684" t="s">
        <v>764</v>
      </c>
      <c r="C224" s="702" t="s">
        <v>1036</v>
      </c>
    </row>
    <row r="225" spans="1:3" x14ac:dyDescent="0.3">
      <c r="A225" s="968"/>
      <c r="B225" s="684" t="s">
        <v>765</v>
      </c>
      <c r="C225" s="702" t="s">
        <v>1037</v>
      </c>
    </row>
    <row r="226" spans="1:3" ht="24" x14ac:dyDescent="0.3">
      <c r="A226" s="968"/>
      <c r="B226" s="684" t="s">
        <v>766</v>
      </c>
      <c r="C226" s="702" t="s">
        <v>1038</v>
      </c>
    </row>
    <row r="227" spans="1:3" ht="12.6" x14ac:dyDescent="0.3">
      <c r="A227" s="743"/>
      <c r="B227" s="744"/>
      <c r="C227" s="745"/>
    </row>
    <row r="228" spans="1:3" ht="12.6" x14ac:dyDescent="0.3">
      <c r="A228" s="743"/>
      <c r="B228" s="745"/>
      <c r="C228" s="745"/>
    </row>
    <row r="229" spans="1:3" ht="12.6" x14ac:dyDescent="0.3">
      <c r="A229" s="743"/>
      <c r="B229" s="745"/>
      <c r="C229" s="745"/>
    </row>
    <row r="230" spans="1:3" ht="12.6" x14ac:dyDescent="0.3">
      <c r="A230" s="743"/>
      <c r="B230" s="746"/>
      <c r="C230" s="745"/>
    </row>
    <row r="231" spans="1:3" x14ac:dyDescent="0.3">
      <c r="A231" s="966"/>
      <c r="B231" s="747"/>
      <c r="C231" s="745"/>
    </row>
    <row r="232" spans="1:3" x14ac:dyDescent="0.3">
      <c r="A232" s="966"/>
      <c r="B232" s="747"/>
      <c r="C232" s="745"/>
    </row>
    <row r="233" spans="1:3" x14ac:dyDescent="0.3">
      <c r="A233" s="966"/>
      <c r="B233" s="747"/>
      <c r="C233" s="745"/>
    </row>
    <row r="234" spans="1:3" x14ac:dyDescent="0.3">
      <c r="A234" s="966"/>
      <c r="B234" s="747"/>
      <c r="C234" s="748"/>
    </row>
    <row r="235" spans="1:3" ht="40.5" customHeight="1" x14ac:dyDescent="0.3">
      <c r="A235" s="966"/>
      <c r="B235" s="747"/>
      <c r="C235" s="745"/>
    </row>
    <row r="236" spans="1:3" ht="24" customHeight="1" x14ac:dyDescent="0.3">
      <c r="A236" s="966"/>
      <c r="B236" s="747"/>
      <c r="C236" s="745"/>
    </row>
    <row r="237" spans="1:3" x14ac:dyDescent="0.3">
      <c r="A237" s="966"/>
      <c r="B237" s="747"/>
      <c r="C237" s="745"/>
    </row>
  </sheetData>
  <mergeCells count="133">
    <mergeCell ref="A231:A237"/>
    <mergeCell ref="B200:C200"/>
    <mergeCell ref="B201:C201"/>
    <mergeCell ref="B203:C203"/>
    <mergeCell ref="B204:C204"/>
    <mergeCell ref="B205:C205"/>
    <mergeCell ref="A219:A226"/>
    <mergeCell ref="B161:C161"/>
    <mergeCell ref="B177:C177"/>
    <mergeCell ref="B178:C178"/>
    <mergeCell ref="B185:C185"/>
    <mergeCell ref="B186:C186"/>
    <mergeCell ref="C189:C192"/>
    <mergeCell ref="B151:C151"/>
    <mergeCell ref="B152:C152"/>
    <mergeCell ref="B153:C153"/>
    <mergeCell ref="B154:C154"/>
    <mergeCell ref="B158:C158"/>
    <mergeCell ref="B160:C160"/>
    <mergeCell ref="B116:C116"/>
    <mergeCell ref="B117:C117"/>
    <mergeCell ref="B119:C119"/>
    <mergeCell ref="B120:C120"/>
    <mergeCell ref="B149:C149"/>
    <mergeCell ref="B150:C150"/>
    <mergeCell ref="B110:C110"/>
    <mergeCell ref="B111:C111"/>
    <mergeCell ref="A112:C112"/>
    <mergeCell ref="A113:C113"/>
    <mergeCell ref="B114:C114"/>
    <mergeCell ref="B115:C115"/>
    <mergeCell ref="A97:C97"/>
    <mergeCell ref="A98:C98"/>
    <mergeCell ref="A106:C106"/>
    <mergeCell ref="B107:C107"/>
    <mergeCell ref="A108:C108"/>
    <mergeCell ref="B109:C109"/>
    <mergeCell ref="B91:C91"/>
    <mergeCell ref="B92:C92"/>
    <mergeCell ref="B93:C93"/>
    <mergeCell ref="B94:C94"/>
    <mergeCell ref="B95:C95"/>
    <mergeCell ref="B96:C96"/>
    <mergeCell ref="B85:C85"/>
    <mergeCell ref="B86:C86"/>
    <mergeCell ref="B87:C87"/>
    <mergeCell ref="B88:C88"/>
    <mergeCell ref="A89:C89"/>
    <mergeCell ref="B90:C90"/>
    <mergeCell ref="B79:C79"/>
    <mergeCell ref="B80:C80"/>
    <mergeCell ref="A81:C81"/>
    <mergeCell ref="B82:C82"/>
    <mergeCell ref="B83:C83"/>
    <mergeCell ref="B84:C84"/>
    <mergeCell ref="B73:C73"/>
    <mergeCell ref="B74:C74"/>
    <mergeCell ref="B75:C75"/>
    <mergeCell ref="B76:C76"/>
    <mergeCell ref="A77:C77"/>
    <mergeCell ref="B78:C78"/>
    <mergeCell ref="B67:C67"/>
    <mergeCell ref="A68:C68"/>
    <mergeCell ref="B69:C69"/>
    <mergeCell ref="B70:C70"/>
    <mergeCell ref="B71:C71"/>
    <mergeCell ref="B72:C72"/>
    <mergeCell ref="B61:C61"/>
    <mergeCell ref="B62:C62"/>
    <mergeCell ref="B63:C63"/>
    <mergeCell ref="A64:C64"/>
    <mergeCell ref="B65:C65"/>
    <mergeCell ref="A66:C66"/>
    <mergeCell ref="B55:C55"/>
    <mergeCell ref="B56:C56"/>
    <mergeCell ref="B57:C57"/>
    <mergeCell ref="B58:C58"/>
    <mergeCell ref="B59:C59"/>
    <mergeCell ref="B60:C60"/>
    <mergeCell ref="B49:C49"/>
    <mergeCell ref="B50:C50"/>
    <mergeCell ref="B51:C51"/>
    <mergeCell ref="B52:C52"/>
    <mergeCell ref="B53:C53"/>
    <mergeCell ref="A54:C54"/>
    <mergeCell ref="B43:C43"/>
    <mergeCell ref="B44:C44"/>
    <mergeCell ref="A45:C45"/>
    <mergeCell ref="B46:C46"/>
    <mergeCell ref="A47:C47"/>
    <mergeCell ref="B48:C48"/>
    <mergeCell ref="B37:C37"/>
    <mergeCell ref="B38:C38"/>
    <mergeCell ref="B39:C39"/>
    <mergeCell ref="B40:C40"/>
    <mergeCell ref="A41:C41"/>
    <mergeCell ref="B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0D62-99E4-441B-9614-E38BC2F7597F}">
  <sheetPr>
    <tabColor theme="2" tint="-9.9978637043366805E-2"/>
  </sheetPr>
  <dimension ref="A1:I52"/>
  <sheetViews>
    <sheetView topLeftCell="A33" zoomScale="80" zoomScaleNormal="80" workbookViewId="0">
      <selection activeCell="C6" sqref="C6:H45"/>
    </sheetView>
  </sheetViews>
  <sheetFormatPr defaultRowHeight="14.4" x14ac:dyDescent="0.3"/>
  <cols>
    <col min="2" max="2" width="66.6640625" customWidth="1"/>
    <col min="3" max="8" width="17.6640625" customWidth="1"/>
  </cols>
  <sheetData>
    <row r="1" spans="1:8" x14ac:dyDescent="0.3">
      <c r="A1" s="19" t="s">
        <v>44</v>
      </c>
      <c r="B1" s="20" t="str">
        <f>Info!C2</f>
        <v>სს სილქ ბანკი</v>
      </c>
      <c r="C1" s="21"/>
      <c r="D1" s="18"/>
      <c r="E1" s="18"/>
      <c r="F1" s="18"/>
      <c r="G1" s="18"/>
    </row>
    <row r="2" spans="1:8" x14ac:dyDescent="0.3">
      <c r="A2" s="19" t="s">
        <v>45</v>
      </c>
      <c r="B2" s="22">
        <f>'1. key ratios'!B2</f>
        <v>46112</v>
      </c>
      <c r="C2" s="21"/>
      <c r="D2" s="18"/>
      <c r="E2" s="18"/>
      <c r="F2" s="18"/>
      <c r="G2" s="18"/>
    </row>
    <row r="3" spans="1:8" ht="15" thickBot="1" x14ac:dyDescent="0.35">
      <c r="A3" s="19"/>
      <c r="B3" s="21"/>
      <c r="C3" s="21"/>
      <c r="D3" s="18"/>
      <c r="E3" s="18"/>
      <c r="F3" s="18"/>
      <c r="G3" s="18"/>
    </row>
    <row r="4" spans="1:8" x14ac:dyDescent="0.3">
      <c r="A4" s="806" t="s">
        <v>48</v>
      </c>
      <c r="B4" s="808" t="s">
        <v>14</v>
      </c>
      <c r="C4" s="810" t="s">
        <v>92</v>
      </c>
      <c r="D4" s="810"/>
      <c r="E4" s="810"/>
      <c r="F4" s="810" t="s">
        <v>93</v>
      </c>
      <c r="G4" s="810"/>
      <c r="H4" s="811"/>
    </row>
    <row r="5" spans="1:8" ht="15.45" customHeight="1" x14ac:dyDescent="0.3">
      <c r="A5" s="807"/>
      <c r="B5" s="809"/>
      <c r="C5" s="90" t="s">
        <v>94</v>
      </c>
      <c r="D5" s="90" t="s">
        <v>95</v>
      </c>
      <c r="E5" s="90" t="s">
        <v>96</v>
      </c>
      <c r="F5" s="90" t="s">
        <v>94</v>
      </c>
      <c r="G5" s="90" t="s">
        <v>95</v>
      </c>
      <c r="H5" s="90" t="s">
        <v>96</v>
      </c>
    </row>
    <row r="6" spans="1:8" x14ac:dyDescent="0.3">
      <c r="A6" s="89">
        <v>1</v>
      </c>
      <c r="B6" s="120" t="s">
        <v>159</v>
      </c>
      <c r="C6" s="113">
        <f>SUM(C7:C12)</f>
        <v>7360157.403102289</v>
      </c>
      <c r="D6" s="113">
        <f>SUM(D7:D12)</f>
        <v>443412.18838033831</v>
      </c>
      <c r="E6" s="776">
        <f>C6+D6</f>
        <v>7803569.5914826272</v>
      </c>
      <c r="F6" s="113">
        <f>SUM(F7:F12)</f>
        <v>4649035.344614963</v>
      </c>
      <c r="G6" s="113">
        <f>SUM(G7:G12)</f>
        <v>1107574.0491298807</v>
      </c>
      <c r="H6" s="776">
        <f>F6+G6</f>
        <v>5756609.393744844</v>
      </c>
    </row>
    <row r="7" spans="1:8" x14ac:dyDescent="0.3">
      <c r="A7" s="89">
        <v>1.1000000000000001</v>
      </c>
      <c r="B7" s="121" t="s">
        <v>102</v>
      </c>
      <c r="C7" s="113"/>
      <c r="D7" s="113"/>
      <c r="E7" s="776">
        <f t="shared" ref="E7:E45" si="0">C7+D7</f>
        <v>0</v>
      </c>
      <c r="F7" s="113"/>
      <c r="G7" s="113"/>
      <c r="H7" s="776">
        <f t="shared" ref="H7:H44" si="1">F7+G7</f>
        <v>0</v>
      </c>
    </row>
    <row r="8" spans="1:8" ht="20.399999999999999" x14ac:dyDescent="0.3">
      <c r="A8" s="89">
        <v>1.2</v>
      </c>
      <c r="B8" s="121" t="s">
        <v>160</v>
      </c>
      <c r="C8" s="113"/>
      <c r="D8" s="113"/>
      <c r="E8" s="776">
        <f t="shared" si="0"/>
        <v>0</v>
      </c>
      <c r="F8" s="113"/>
      <c r="G8" s="113"/>
      <c r="H8" s="776">
        <f t="shared" si="1"/>
        <v>0</v>
      </c>
    </row>
    <row r="9" spans="1:8" ht="21.45" customHeight="1" x14ac:dyDescent="0.3">
      <c r="A9" s="89">
        <v>1.3</v>
      </c>
      <c r="B9" s="110" t="s">
        <v>161</v>
      </c>
      <c r="C9" s="113"/>
      <c r="D9" s="113"/>
      <c r="E9" s="776">
        <f t="shared" si="0"/>
        <v>0</v>
      </c>
      <c r="F9" s="113"/>
      <c r="G9" s="113"/>
      <c r="H9" s="776">
        <f t="shared" si="1"/>
        <v>0</v>
      </c>
    </row>
    <row r="10" spans="1:8" ht="20.399999999999999" x14ac:dyDescent="0.3">
      <c r="A10" s="89">
        <v>1.4</v>
      </c>
      <c r="B10" s="110" t="s">
        <v>106</v>
      </c>
      <c r="C10" s="113"/>
      <c r="D10" s="113"/>
      <c r="E10" s="776">
        <f t="shared" si="0"/>
        <v>0</v>
      </c>
      <c r="F10" s="113"/>
      <c r="G10" s="113"/>
      <c r="H10" s="776">
        <f t="shared" si="1"/>
        <v>0</v>
      </c>
    </row>
    <row r="11" spans="1:8" x14ac:dyDescent="0.3">
      <c r="A11" s="89">
        <v>1.5</v>
      </c>
      <c r="B11" s="110" t="s">
        <v>110</v>
      </c>
      <c r="C11" s="113">
        <v>7360157.403102289</v>
      </c>
      <c r="D11" s="113">
        <v>443412.18838033831</v>
      </c>
      <c r="E11" s="776">
        <f t="shared" si="0"/>
        <v>7803569.5914826272</v>
      </c>
      <c r="F11" s="113">
        <v>4649035.344614963</v>
      </c>
      <c r="G11" s="113">
        <v>1107574.0491298807</v>
      </c>
      <c r="H11" s="776">
        <f t="shared" si="1"/>
        <v>5756609.393744844</v>
      </c>
    </row>
    <row r="12" spans="1:8" x14ac:dyDescent="0.3">
      <c r="A12" s="89">
        <v>1.6</v>
      </c>
      <c r="B12" s="111" t="s">
        <v>122</v>
      </c>
      <c r="C12" s="113"/>
      <c r="D12" s="113"/>
      <c r="E12" s="776">
        <f t="shared" si="0"/>
        <v>0</v>
      </c>
      <c r="F12" s="113"/>
      <c r="G12" s="113"/>
      <c r="H12" s="776">
        <f t="shared" si="1"/>
        <v>0</v>
      </c>
    </row>
    <row r="13" spans="1:8" x14ac:dyDescent="0.3">
      <c r="A13" s="89">
        <v>2</v>
      </c>
      <c r="B13" s="122" t="s">
        <v>162</v>
      </c>
      <c r="C13" s="113">
        <f>SUM(C14:C17)</f>
        <v>-3867172.2988631125</v>
      </c>
      <c r="D13" s="113">
        <f>SUM(D14:D17)</f>
        <v>-463595.82065194036</v>
      </c>
      <c r="E13" s="776">
        <f t="shared" si="0"/>
        <v>-4330768.119515053</v>
      </c>
      <c r="F13" s="113">
        <f>SUM(F14:F17)</f>
        <v>-3034353.8285598364</v>
      </c>
      <c r="G13" s="113">
        <f>SUM(G14:G17)</f>
        <v>-381786.53570571891</v>
      </c>
      <c r="H13" s="776">
        <f t="shared" si="1"/>
        <v>-3416140.3642655555</v>
      </c>
    </row>
    <row r="14" spans="1:8" x14ac:dyDescent="0.3">
      <c r="A14" s="89">
        <v>2.1</v>
      </c>
      <c r="B14" s="110" t="s">
        <v>163</v>
      </c>
      <c r="C14" s="113"/>
      <c r="D14" s="113"/>
      <c r="E14" s="776">
        <f t="shared" si="0"/>
        <v>0</v>
      </c>
      <c r="F14" s="113"/>
      <c r="G14" s="113"/>
      <c r="H14" s="776">
        <f t="shared" si="1"/>
        <v>0</v>
      </c>
    </row>
    <row r="15" spans="1:8" ht="24.45" customHeight="1" x14ac:dyDescent="0.3">
      <c r="A15" s="89">
        <v>2.2000000000000002</v>
      </c>
      <c r="B15" s="110" t="s">
        <v>164</v>
      </c>
      <c r="C15" s="113"/>
      <c r="D15" s="113"/>
      <c r="E15" s="776">
        <f t="shared" si="0"/>
        <v>0</v>
      </c>
      <c r="F15" s="113"/>
      <c r="G15" s="113"/>
      <c r="H15" s="776">
        <f t="shared" si="1"/>
        <v>0</v>
      </c>
    </row>
    <row r="16" spans="1:8" ht="20.7" customHeight="1" x14ac:dyDescent="0.3">
      <c r="A16" s="89">
        <v>2.2999999999999998</v>
      </c>
      <c r="B16" s="110" t="s">
        <v>165</v>
      </c>
      <c r="C16" s="113">
        <v>-3867172.2988631125</v>
      </c>
      <c r="D16" s="113">
        <v>-463595.82065194036</v>
      </c>
      <c r="E16" s="776">
        <f t="shared" si="0"/>
        <v>-4330768.119515053</v>
      </c>
      <c r="F16" s="113">
        <v>-3034353.8285598364</v>
      </c>
      <c r="G16" s="113">
        <v>-381786.53570571891</v>
      </c>
      <c r="H16" s="776">
        <f t="shared" si="1"/>
        <v>-3416140.3642655555</v>
      </c>
    </row>
    <row r="17" spans="1:8" x14ac:dyDescent="0.3">
      <c r="A17" s="89">
        <v>2.4</v>
      </c>
      <c r="B17" s="110" t="s">
        <v>166</v>
      </c>
      <c r="C17" s="113"/>
      <c r="D17" s="113"/>
      <c r="E17" s="776">
        <f t="shared" si="0"/>
        <v>0</v>
      </c>
      <c r="F17" s="113"/>
      <c r="G17" s="113"/>
      <c r="H17" s="776">
        <f t="shared" si="1"/>
        <v>0</v>
      </c>
    </row>
    <row r="18" spans="1:8" x14ac:dyDescent="0.3">
      <c r="A18" s="89">
        <v>3</v>
      </c>
      <c r="B18" s="122" t="s">
        <v>167</v>
      </c>
      <c r="C18" s="113"/>
      <c r="D18" s="113"/>
      <c r="E18" s="776">
        <f t="shared" si="0"/>
        <v>0</v>
      </c>
      <c r="F18" s="113"/>
      <c r="G18" s="113"/>
      <c r="H18" s="776">
        <f t="shared" si="1"/>
        <v>0</v>
      </c>
    </row>
    <row r="19" spans="1:8" x14ac:dyDescent="0.3">
      <c r="A19" s="89">
        <v>4</v>
      </c>
      <c r="B19" s="122" t="s">
        <v>168</v>
      </c>
      <c r="C19" s="113">
        <v>242587.69000004185</v>
      </c>
      <c r="D19" s="113">
        <v>23373.920000000035</v>
      </c>
      <c r="E19" s="776">
        <f t="shared" si="0"/>
        <v>265961.6100000419</v>
      </c>
      <c r="F19" s="113">
        <v>106139.83000000092</v>
      </c>
      <c r="G19" s="113">
        <v>86773.889999999985</v>
      </c>
      <c r="H19" s="776">
        <f t="shared" si="1"/>
        <v>192913.7200000009</v>
      </c>
    </row>
    <row r="20" spans="1:8" x14ac:dyDescent="0.3">
      <c r="A20" s="89">
        <v>5</v>
      </c>
      <c r="B20" s="122" t="s">
        <v>169</v>
      </c>
      <c r="C20" s="113">
        <v>-116981.11</v>
      </c>
      <c r="D20" s="113">
        <v>-50894.39</v>
      </c>
      <c r="E20" s="776">
        <f t="shared" si="0"/>
        <v>-167875.5</v>
      </c>
      <c r="F20" s="113">
        <v>-183335.82</v>
      </c>
      <c r="G20" s="113">
        <v>-51342.12000000001</v>
      </c>
      <c r="H20" s="776">
        <f t="shared" si="1"/>
        <v>-234677.94</v>
      </c>
    </row>
    <row r="21" spans="1:8" ht="38.700000000000003" customHeight="1" x14ac:dyDescent="0.3">
      <c r="A21" s="89">
        <v>6</v>
      </c>
      <c r="B21" s="122" t="s">
        <v>170</v>
      </c>
      <c r="C21" s="113"/>
      <c r="D21" s="113"/>
      <c r="E21" s="776">
        <f t="shared" si="0"/>
        <v>0</v>
      </c>
      <c r="F21" s="113"/>
      <c r="G21" s="113"/>
      <c r="H21" s="776">
        <f t="shared" si="1"/>
        <v>0</v>
      </c>
    </row>
    <row r="22" spans="1:8" ht="27.45" customHeight="1" x14ac:dyDescent="0.3">
      <c r="A22" s="89">
        <v>7</v>
      </c>
      <c r="B22" s="122" t="s">
        <v>171</v>
      </c>
      <c r="C22" s="123">
        <v>74573.100170878111</v>
      </c>
      <c r="D22" s="113"/>
      <c r="E22" s="776">
        <f t="shared" si="0"/>
        <v>74573.100170878111</v>
      </c>
      <c r="F22" s="113">
        <v>284254.76124766679</v>
      </c>
      <c r="G22" s="113"/>
      <c r="H22" s="776">
        <f t="shared" si="1"/>
        <v>284254.76124766679</v>
      </c>
    </row>
    <row r="23" spans="1:8" ht="37.200000000000003" customHeight="1" x14ac:dyDescent="0.3">
      <c r="A23" s="89">
        <v>8</v>
      </c>
      <c r="B23" s="124" t="s">
        <v>172</v>
      </c>
      <c r="C23" s="113"/>
      <c r="D23" s="113"/>
      <c r="E23" s="776">
        <f t="shared" si="0"/>
        <v>0</v>
      </c>
      <c r="F23" s="113"/>
      <c r="G23" s="113"/>
      <c r="H23" s="776">
        <f t="shared" si="1"/>
        <v>0</v>
      </c>
    </row>
    <row r="24" spans="1:8" ht="34.5" customHeight="1" x14ac:dyDescent="0.3">
      <c r="A24" s="89">
        <v>9</v>
      </c>
      <c r="B24" s="124" t="s">
        <v>173</v>
      </c>
      <c r="C24" s="113"/>
      <c r="D24" s="113"/>
      <c r="E24" s="776">
        <f t="shared" si="0"/>
        <v>0</v>
      </c>
      <c r="F24" s="113"/>
      <c r="G24" s="113"/>
      <c r="H24" s="776">
        <f t="shared" si="1"/>
        <v>0</v>
      </c>
    </row>
    <row r="25" spans="1:8" x14ac:dyDescent="0.3">
      <c r="A25" s="89">
        <v>10</v>
      </c>
      <c r="B25" s="122" t="s">
        <v>174</v>
      </c>
      <c r="C25" s="113">
        <v>338391.78747293074</v>
      </c>
      <c r="D25" s="113"/>
      <c r="E25" s="776">
        <f t="shared" si="0"/>
        <v>338391.78747293074</v>
      </c>
      <c r="F25" s="113">
        <v>-407721.78436366655</v>
      </c>
      <c r="G25" s="113">
        <v>0</v>
      </c>
      <c r="H25" s="776">
        <f t="shared" si="1"/>
        <v>-407721.78436366655</v>
      </c>
    </row>
    <row r="26" spans="1:8" ht="27" customHeight="1" x14ac:dyDescent="0.3">
      <c r="A26" s="89">
        <v>11</v>
      </c>
      <c r="B26" s="125" t="s">
        <v>175</v>
      </c>
      <c r="C26" s="113">
        <v>0</v>
      </c>
      <c r="D26" s="113">
        <v>0</v>
      </c>
      <c r="E26" s="776">
        <f t="shared" si="0"/>
        <v>0</v>
      </c>
      <c r="F26" s="113">
        <v>70.069999999999993</v>
      </c>
      <c r="G26" s="113">
        <v>0</v>
      </c>
      <c r="H26" s="776">
        <f t="shared" si="1"/>
        <v>70.069999999999993</v>
      </c>
    </row>
    <row r="27" spans="1:8" x14ac:dyDescent="0.3">
      <c r="A27" s="89">
        <v>12</v>
      </c>
      <c r="B27" s="122" t="s">
        <v>176</v>
      </c>
      <c r="C27" s="113">
        <v>21977.269999999993</v>
      </c>
      <c r="D27" s="113">
        <v>82004.789999999994</v>
      </c>
      <c r="E27" s="776">
        <f t="shared" si="0"/>
        <v>103982.05999999998</v>
      </c>
      <c r="F27" s="113">
        <v>28201.506716272164</v>
      </c>
      <c r="G27" s="113">
        <v>10.27</v>
      </c>
      <c r="H27" s="776">
        <f t="shared" si="1"/>
        <v>28211.776716272165</v>
      </c>
    </row>
    <row r="28" spans="1:8" x14ac:dyDescent="0.3">
      <c r="A28" s="89">
        <v>13</v>
      </c>
      <c r="B28" s="126" t="s">
        <v>177</v>
      </c>
      <c r="C28" s="113">
        <v>-19570.489999999998</v>
      </c>
      <c r="D28" s="113">
        <v>-5327.58</v>
      </c>
      <c r="E28" s="776">
        <f t="shared" si="0"/>
        <v>-24898.07</v>
      </c>
      <c r="F28" s="113">
        <v>-8732.9452857500019</v>
      </c>
      <c r="G28" s="113">
        <v>0</v>
      </c>
      <c r="H28" s="776">
        <f t="shared" si="1"/>
        <v>-8732.9452857500019</v>
      </c>
    </row>
    <row r="29" spans="1:8" x14ac:dyDescent="0.3">
      <c r="A29" s="89">
        <v>14</v>
      </c>
      <c r="B29" s="127" t="s">
        <v>178</v>
      </c>
      <c r="C29" s="113">
        <f>SUM(C30:C31)</f>
        <v>-7766094.3804682884</v>
      </c>
      <c r="D29" s="113">
        <f>SUM(D30:D31)</f>
        <v>-969062.43999999983</v>
      </c>
      <c r="E29" s="776">
        <f t="shared" si="0"/>
        <v>-8735156.8204682879</v>
      </c>
      <c r="F29" s="113">
        <f>SUM(F30:F31)</f>
        <v>-5995325.2059166739</v>
      </c>
      <c r="G29" s="113">
        <f>SUM(G30:G31)</f>
        <v>-570965.03000000026</v>
      </c>
      <c r="H29" s="776">
        <f t="shared" si="1"/>
        <v>-6566290.2359166741</v>
      </c>
    </row>
    <row r="30" spans="1:8" x14ac:dyDescent="0.3">
      <c r="A30" s="89">
        <v>14.1</v>
      </c>
      <c r="B30" s="104" t="s">
        <v>179</v>
      </c>
      <c r="C30" s="113">
        <v>-4159362.3614368229</v>
      </c>
      <c r="D30" s="113">
        <v>0</v>
      </c>
      <c r="E30" s="776">
        <f t="shared" si="0"/>
        <v>-4159362.3614368229</v>
      </c>
      <c r="F30" s="113">
        <v>-3353921.8610574557</v>
      </c>
      <c r="G30" s="113">
        <v>0</v>
      </c>
      <c r="H30" s="776">
        <f t="shared" si="1"/>
        <v>-3353921.8610574557</v>
      </c>
    </row>
    <row r="31" spans="1:8" x14ac:dyDescent="0.3">
      <c r="A31" s="89">
        <v>14.2</v>
      </c>
      <c r="B31" s="104" t="s">
        <v>180</v>
      </c>
      <c r="C31" s="113">
        <v>-3606732.019031466</v>
      </c>
      <c r="D31" s="113">
        <v>-969062.43999999983</v>
      </c>
      <c r="E31" s="776">
        <f t="shared" si="0"/>
        <v>-4575794.4590314655</v>
      </c>
      <c r="F31" s="113">
        <v>-2641403.3448592182</v>
      </c>
      <c r="G31" s="113">
        <v>-570965.03000000026</v>
      </c>
      <c r="H31" s="776">
        <f t="shared" si="1"/>
        <v>-3212368.3748592185</v>
      </c>
    </row>
    <row r="32" spans="1:8" x14ac:dyDescent="0.3">
      <c r="A32" s="89">
        <v>15</v>
      </c>
      <c r="B32" s="128" t="s">
        <v>181</v>
      </c>
      <c r="C32" s="113">
        <v>-736861.66598744178</v>
      </c>
      <c r="D32" s="113"/>
      <c r="E32" s="776">
        <f t="shared" si="0"/>
        <v>-736861.66598744178</v>
      </c>
      <c r="F32" s="113">
        <v>-394480.5491778978</v>
      </c>
      <c r="G32" s="113">
        <v>0</v>
      </c>
      <c r="H32" s="776">
        <f t="shared" si="1"/>
        <v>-394480.5491778978</v>
      </c>
    </row>
    <row r="33" spans="1:9" ht="22.5" customHeight="1" x14ac:dyDescent="0.3">
      <c r="A33" s="89">
        <v>16</v>
      </c>
      <c r="B33" s="100" t="s">
        <v>182</v>
      </c>
      <c r="C33" s="113"/>
      <c r="D33" s="113"/>
      <c r="E33" s="776">
        <f t="shared" si="0"/>
        <v>0</v>
      </c>
      <c r="F33" s="113"/>
      <c r="G33" s="113"/>
      <c r="H33" s="776">
        <f t="shared" si="1"/>
        <v>0</v>
      </c>
    </row>
    <row r="34" spans="1:9" x14ac:dyDescent="0.3">
      <c r="A34" s="89">
        <v>17</v>
      </c>
      <c r="B34" s="122" t="s">
        <v>183</v>
      </c>
      <c r="C34" s="113">
        <f>SUM(C35:C36)</f>
        <v>-69309.863232223317</v>
      </c>
      <c r="D34" s="113">
        <f>SUM(D35:D36)</f>
        <v>243.47482051439545</v>
      </c>
      <c r="E34" s="776">
        <f t="shared" si="0"/>
        <v>-69066.388411708918</v>
      </c>
      <c r="F34" s="113">
        <f>SUM(F35:F36)</f>
        <v>27732.677905945333</v>
      </c>
      <c r="G34" s="113">
        <f>SUM(G35:G36)</f>
        <v>13438.38138274125</v>
      </c>
      <c r="H34" s="776">
        <f t="shared" si="1"/>
        <v>41171.059288686585</v>
      </c>
    </row>
    <row r="35" spans="1:9" x14ac:dyDescent="0.3">
      <c r="A35" s="89">
        <v>17.100000000000001</v>
      </c>
      <c r="B35" s="129" t="s">
        <v>184</v>
      </c>
      <c r="C35" s="113">
        <v>-69309.863232223317</v>
      </c>
      <c r="D35" s="113">
        <v>243.47482051439545</v>
      </c>
      <c r="E35" s="776">
        <f t="shared" si="0"/>
        <v>-69066.388411708918</v>
      </c>
      <c r="F35" s="113">
        <v>27732.677905945333</v>
      </c>
      <c r="G35" s="113">
        <v>13438.38138274125</v>
      </c>
      <c r="H35" s="776">
        <f t="shared" si="1"/>
        <v>41171.059288686585</v>
      </c>
    </row>
    <row r="36" spans="1:9" x14ac:dyDescent="0.3">
      <c r="A36" s="89">
        <v>17.2</v>
      </c>
      <c r="B36" s="104" t="s">
        <v>185</v>
      </c>
      <c r="C36" s="113"/>
      <c r="D36" s="113"/>
      <c r="E36" s="776">
        <f t="shared" si="0"/>
        <v>0</v>
      </c>
      <c r="F36" s="113"/>
      <c r="G36" s="113"/>
      <c r="H36" s="776">
        <f t="shared" si="1"/>
        <v>0</v>
      </c>
    </row>
    <row r="37" spans="1:9" ht="41.7" customHeight="1" x14ac:dyDescent="0.3">
      <c r="A37" s="89">
        <v>18</v>
      </c>
      <c r="B37" s="130" t="s">
        <v>186</v>
      </c>
      <c r="C37" s="113">
        <f>SUM(C38:C39)</f>
        <v>-936084.00259771501</v>
      </c>
      <c r="D37" s="113">
        <f>SUM(D38:D39)</f>
        <v>144010.00243143766</v>
      </c>
      <c r="E37" s="776">
        <f t="shared" si="0"/>
        <v>-792074.0001662774</v>
      </c>
      <c r="F37" s="113">
        <f>SUM(F38:F39)</f>
        <v>-491183.52821596502</v>
      </c>
      <c r="G37" s="113">
        <f>SUM(G38:G39)</f>
        <v>-58543.666596153103</v>
      </c>
      <c r="H37" s="776">
        <f t="shared" si="1"/>
        <v>-549727.19481211808</v>
      </c>
    </row>
    <row r="38" spans="1:9" ht="20.399999999999999" x14ac:dyDescent="0.3">
      <c r="A38" s="89">
        <v>18.100000000000001</v>
      </c>
      <c r="B38" s="110" t="s">
        <v>187</v>
      </c>
      <c r="C38" s="113"/>
      <c r="D38" s="113"/>
      <c r="E38" s="776">
        <f t="shared" si="0"/>
        <v>0</v>
      </c>
      <c r="F38" s="113"/>
      <c r="G38" s="113"/>
      <c r="H38" s="776">
        <f t="shared" si="1"/>
        <v>0</v>
      </c>
    </row>
    <row r="39" spans="1:9" x14ac:dyDescent="0.3">
      <c r="A39" s="89">
        <v>18.2</v>
      </c>
      <c r="B39" s="110" t="s">
        <v>188</v>
      </c>
      <c r="C39" s="113">
        <v>-936084.00259771501</v>
      </c>
      <c r="D39" s="113">
        <v>144010.00243143766</v>
      </c>
      <c r="E39" s="776">
        <f t="shared" si="0"/>
        <v>-792074.0001662774</v>
      </c>
      <c r="F39" s="113">
        <v>-491183.52821596502</v>
      </c>
      <c r="G39" s="113">
        <v>-58543.666596153103</v>
      </c>
      <c r="H39" s="776">
        <f t="shared" si="1"/>
        <v>-549727.19481211808</v>
      </c>
    </row>
    <row r="40" spans="1:9" ht="24.45" customHeight="1" x14ac:dyDescent="0.3">
      <c r="A40" s="89">
        <v>19</v>
      </c>
      <c r="B40" s="130" t="s">
        <v>189</v>
      </c>
      <c r="C40" s="113"/>
      <c r="D40" s="113"/>
      <c r="E40" s="776">
        <f t="shared" si="0"/>
        <v>0</v>
      </c>
      <c r="F40" s="113"/>
      <c r="G40" s="113"/>
      <c r="H40" s="776">
        <f t="shared" si="1"/>
        <v>0</v>
      </c>
    </row>
    <row r="41" spans="1:9" ht="25.2" customHeight="1" x14ac:dyDescent="0.3">
      <c r="A41" s="89">
        <v>20</v>
      </c>
      <c r="B41" s="130" t="s">
        <v>190</v>
      </c>
      <c r="C41" s="113">
        <v>24995.57</v>
      </c>
      <c r="D41" s="113">
        <v>6665.2699999999995</v>
      </c>
      <c r="E41" s="776">
        <f t="shared" si="0"/>
        <v>31660.84</v>
      </c>
      <c r="F41" s="113">
        <v>25378.028560001869</v>
      </c>
      <c r="G41" s="113"/>
      <c r="H41" s="776">
        <f t="shared" si="1"/>
        <v>25378.028560001869</v>
      </c>
    </row>
    <row r="42" spans="1:9" ht="33" customHeight="1" x14ac:dyDescent="0.3">
      <c r="A42" s="89">
        <v>21</v>
      </c>
      <c r="B42" s="131" t="s">
        <v>191</v>
      </c>
      <c r="C42" s="113"/>
      <c r="D42" s="113"/>
      <c r="E42" s="776">
        <f t="shared" si="0"/>
        <v>0</v>
      </c>
      <c r="F42" s="113"/>
      <c r="G42" s="113"/>
      <c r="H42" s="776">
        <f t="shared" si="1"/>
        <v>0</v>
      </c>
    </row>
    <row r="43" spans="1:9" x14ac:dyDescent="0.3">
      <c r="A43" s="89">
        <v>22</v>
      </c>
      <c r="B43" s="132" t="s">
        <v>192</v>
      </c>
      <c r="C43" s="113">
        <f>SUM(C6,C13,C18,C19,C20,C21,C22,C23,C24,C25,C26,C27,C28,C29,C32,C33,C34,C37,C40,C41,C42)</f>
        <v>-5449390.9904026408</v>
      </c>
      <c r="D43" s="113">
        <f>SUM(D6,D13,D18,D19,D20,D21,D22,D23,D24,D25,D26,D27,D28,D29,D32,D33,D34,D37,D40,D41,D42)</f>
        <v>-789170.5850196497</v>
      </c>
      <c r="E43" s="776">
        <f t="shared" si="0"/>
        <v>-6238561.5754222907</v>
      </c>
      <c r="F43" s="113">
        <f>SUM(F6,F13,F18,F19,F20,F21,F22,F23,F24,F25,F26,F27,F28,F29,F32,F33,F34,F37,F40,F41,F42)</f>
        <v>-5394321.4424749408</v>
      </c>
      <c r="G43" s="113">
        <f>SUM(G6,G13,G18,G19,G20,G21,G22,G23,G24,G25,G26,G27,G28,G29,G32,G33,G34,G37,G40,G41,G42)</f>
        <v>145159.23821074973</v>
      </c>
      <c r="H43" s="776">
        <f t="shared" si="1"/>
        <v>-5249162.204264191</v>
      </c>
    </row>
    <row r="44" spans="1:9" x14ac:dyDescent="0.3">
      <c r="A44" s="89">
        <v>23</v>
      </c>
      <c r="B44" s="132" t="s">
        <v>193</v>
      </c>
      <c r="C44" s="113">
        <v>7380.6764545733477</v>
      </c>
      <c r="D44" s="113"/>
      <c r="E44" s="776">
        <f t="shared" si="0"/>
        <v>7380.6764545733477</v>
      </c>
      <c r="F44" s="113">
        <v>18973.540050713127</v>
      </c>
      <c r="G44" s="113"/>
      <c r="H44" s="776">
        <f t="shared" si="1"/>
        <v>18973.540050713127</v>
      </c>
    </row>
    <row r="45" spans="1:9" x14ac:dyDescent="0.3">
      <c r="A45" s="89">
        <v>24</v>
      </c>
      <c r="B45" s="132" t="s">
        <v>194</v>
      </c>
      <c r="C45" s="113">
        <f>C43-C44</f>
        <v>-5456771.6668572137</v>
      </c>
      <c r="D45" s="113">
        <f>D43+D44</f>
        <v>-789170.5850196497</v>
      </c>
      <c r="E45" s="776">
        <f t="shared" si="0"/>
        <v>-6245942.2518768637</v>
      </c>
      <c r="F45" s="113">
        <f>F43-F44</f>
        <v>-5413294.9825256541</v>
      </c>
      <c r="G45" s="113">
        <f>G43+G44</f>
        <v>145159.23821074973</v>
      </c>
      <c r="H45" s="776">
        <f>F45+G45</f>
        <v>-5268135.7443149043</v>
      </c>
    </row>
    <row r="47" spans="1:9" x14ac:dyDescent="0.3">
      <c r="C47" s="681"/>
      <c r="D47" s="681"/>
      <c r="E47" s="681"/>
      <c r="F47" s="752"/>
      <c r="G47" s="752"/>
      <c r="H47" s="681"/>
      <c r="I47" s="752"/>
    </row>
    <row r="49" customFormat="1" x14ac:dyDescent="0.3"/>
    <row r="50" customFormat="1" x14ac:dyDescent="0.3"/>
    <row r="51" customFormat="1" x14ac:dyDescent="0.3"/>
    <row r="52" customFormat="1" x14ac:dyDescent="0.3"/>
  </sheetData>
  <mergeCells count="4">
    <mergeCell ref="A4:A5"/>
    <mergeCell ref="B4:B5"/>
    <mergeCell ref="C4:E4"/>
    <mergeCell ref="F4:H4"/>
  </mergeCells>
  <conditionalFormatting sqref="B47">
    <cfRule type="duplicateValues" dxfId="29"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A9E9F-6642-4FFD-8DAF-BDF48E3E5C60}">
  <sheetPr>
    <tabColor theme="2" tint="-9.9978637043366805E-2"/>
  </sheetPr>
  <dimension ref="A1:K47"/>
  <sheetViews>
    <sheetView topLeftCell="B1" zoomScaleNormal="100" workbookViewId="0">
      <selection activeCell="C6" sqref="C6:H43"/>
    </sheetView>
  </sheetViews>
  <sheetFormatPr defaultRowHeight="14.4" x14ac:dyDescent="0.3"/>
  <cols>
    <col min="1" max="1" width="8.88671875" style="117"/>
    <col min="2" max="2" width="87.6640625" bestFit="1" customWidth="1"/>
    <col min="3" max="4" width="12.6640625" customWidth="1"/>
    <col min="5" max="5" width="19.21875" customWidth="1"/>
    <col min="6" max="8" width="12.6640625" customWidth="1"/>
    <col min="11" max="11" width="17.6640625" customWidth="1"/>
  </cols>
  <sheetData>
    <row r="1" spans="1:11" x14ac:dyDescent="0.3">
      <c r="A1" s="19" t="s">
        <v>44</v>
      </c>
      <c r="B1" s="20" t="str">
        <f>Info!C2</f>
        <v>სს სილქ ბანკი</v>
      </c>
      <c r="C1" s="21"/>
      <c r="D1" s="18"/>
      <c r="E1" s="18"/>
      <c r="F1" s="18"/>
      <c r="G1" s="18"/>
    </row>
    <row r="2" spans="1:11" x14ac:dyDescent="0.3">
      <c r="A2" s="19" t="s">
        <v>45</v>
      </c>
      <c r="B2" s="22">
        <f>'1. key ratios'!B2</f>
        <v>46112</v>
      </c>
      <c r="C2" s="21"/>
      <c r="D2" s="18"/>
      <c r="E2" s="18"/>
      <c r="F2" s="18"/>
      <c r="G2" s="18"/>
    </row>
    <row r="3" spans="1:11" ht="15" thickBot="1" x14ac:dyDescent="0.35">
      <c r="A3" s="19"/>
      <c r="B3" s="21"/>
      <c r="C3" s="21"/>
      <c r="D3" s="18"/>
      <c r="E3" s="18"/>
      <c r="F3" s="18"/>
      <c r="G3" s="18"/>
    </row>
    <row r="4" spans="1:11" x14ac:dyDescent="0.3">
      <c r="A4" s="798" t="s">
        <v>48</v>
      </c>
      <c r="B4" s="812" t="s">
        <v>195</v>
      </c>
      <c r="C4" s="813" t="s">
        <v>92</v>
      </c>
      <c r="D4" s="813"/>
      <c r="E4" s="813"/>
      <c r="F4" s="813" t="s">
        <v>93</v>
      </c>
      <c r="G4" s="813"/>
      <c r="H4" s="814"/>
    </row>
    <row r="5" spans="1:11" x14ac:dyDescent="0.3">
      <c r="A5" s="798"/>
      <c r="B5" s="812"/>
      <c r="C5" s="90" t="s">
        <v>94</v>
      </c>
      <c r="D5" s="90" t="s">
        <v>95</v>
      </c>
      <c r="E5" s="90" t="s">
        <v>96</v>
      </c>
      <c r="F5" s="90" t="s">
        <v>94</v>
      </c>
      <c r="G5" s="90" t="s">
        <v>95</v>
      </c>
      <c r="H5" s="134" t="s">
        <v>96</v>
      </c>
    </row>
    <row r="6" spans="1:11" x14ac:dyDescent="0.3">
      <c r="A6" s="92">
        <v>1</v>
      </c>
      <c r="B6" s="135" t="s">
        <v>196</v>
      </c>
      <c r="C6" s="136"/>
      <c r="D6" s="136"/>
      <c r="E6" s="137">
        <f t="shared" ref="E6:E43" si="0">C6+D6</f>
        <v>0</v>
      </c>
      <c r="F6" s="136"/>
      <c r="G6" s="136"/>
      <c r="H6" s="138">
        <f t="shared" ref="H6:H43" si="1">F6+G6</f>
        <v>0</v>
      </c>
      <c r="K6" s="139"/>
    </row>
    <row r="7" spans="1:11" x14ac:dyDescent="0.3">
      <c r="A7" s="92">
        <v>2</v>
      </c>
      <c r="B7" s="135" t="s">
        <v>197</v>
      </c>
      <c r="C7" s="136"/>
      <c r="D7" s="136"/>
      <c r="E7" s="137">
        <f t="shared" si="0"/>
        <v>0</v>
      </c>
      <c r="F7" s="136"/>
      <c r="G7" s="136"/>
      <c r="H7" s="138">
        <f t="shared" si="1"/>
        <v>0</v>
      </c>
      <c r="K7" s="139"/>
    </row>
    <row r="8" spans="1:11" x14ac:dyDescent="0.3">
      <c r="A8" s="92">
        <v>3</v>
      </c>
      <c r="B8" s="135" t="s">
        <v>198</v>
      </c>
      <c r="C8" s="136">
        <f>C9+C10</f>
        <v>789200</v>
      </c>
      <c r="D8" s="136">
        <f>D9+D10</f>
        <v>1082619800</v>
      </c>
      <c r="E8" s="137">
        <f t="shared" si="0"/>
        <v>1083409000</v>
      </c>
      <c r="F8" s="136">
        <f>F9+F10</f>
        <v>418600</v>
      </c>
      <c r="G8" s="136">
        <f>G9+G10</f>
        <v>771394860</v>
      </c>
      <c r="H8" s="138">
        <f t="shared" si="1"/>
        <v>771813460</v>
      </c>
      <c r="K8" s="139"/>
    </row>
    <row r="9" spans="1:11" x14ac:dyDescent="0.3">
      <c r="A9" s="92">
        <v>3.1</v>
      </c>
      <c r="B9" s="140" t="s">
        <v>199</v>
      </c>
      <c r="C9" s="136">
        <v>789200</v>
      </c>
      <c r="D9" s="136">
        <v>1082619800</v>
      </c>
      <c r="E9" s="137">
        <f t="shared" si="0"/>
        <v>1083409000</v>
      </c>
      <c r="F9" s="136">
        <v>418600</v>
      </c>
      <c r="G9" s="136">
        <v>771394860</v>
      </c>
      <c r="H9" s="138">
        <f t="shared" si="1"/>
        <v>771813460</v>
      </c>
      <c r="K9" s="139"/>
    </row>
    <row r="10" spans="1:11" x14ac:dyDescent="0.3">
      <c r="A10" s="92">
        <v>3.2</v>
      </c>
      <c r="B10" s="140" t="s">
        <v>200</v>
      </c>
      <c r="C10" s="136">
        <v>0</v>
      </c>
      <c r="D10" s="136">
        <v>0</v>
      </c>
      <c r="E10" s="137">
        <f t="shared" si="0"/>
        <v>0</v>
      </c>
      <c r="F10" s="136">
        <v>0</v>
      </c>
      <c r="G10" s="136">
        <v>0</v>
      </c>
      <c r="H10" s="138">
        <f t="shared" si="1"/>
        <v>0</v>
      </c>
      <c r="K10" s="139"/>
    </row>
    <row r="11" spans="1:11" x14ac:dyDescent="0.3">
      <c r="A11" s="92">
        <v>4</v>
      </c>
      <c r="B11" s="135" t="s">
        <v>201</v>
      </c>
      <c r="C11" s="136">
        <f>C12+C13</f>
        <v>0</v>
      </c>
      <c r="D11" s="136">
        <f>D12+D13</f>
        <v>0</v>
      </c>
      <c r="E11" s="137">
        <f t="shared" si="0"/>
        <v>0</v>
      </c>
      <c r="F11" s="136">
        <f>F12+F13</f>
        <v>0</v>
      </c>
      <c r="G11" s="136">
        <f>G12+G13</f>
        <v>0</v>
      </c>
      <c r="H11" s="138">
        <f t="shared" si="1"/>
        <v>0</v>
      </c>
      <c r="K11" s="139"/>
    </row>
    <row r="12" spans="1:11" x14ac:dyDescent="0.3">
      <c r="A12" s="92">
        <v>4.0999999999999996</v>
      </c>
      <c r="B12" s="140" t="s">
        <v>202</v>
      </c>
      <c r="C12" s="136"/>
      <c r="D12" s="136"/>
      <c r="E12" s="137">
        <f t="shared" si="0"/>
        <v>0</v>
      </c>
      <c r="F12" s="136"/>
      <c r="G12" s="136"/>
      <c r="H12" s="138">
        <f t="shared" si="1"/>
        <v>0</v>
      </c>
      <c r="K12" s="139"/>
    </row>
    <row r="13" spans="1:11" x14ac:dyDescent="0.3">
      <c r="A13" s="92">
        <v>4.2</v>
      </c>
      <c r="B13" s="140" t="s">
        <v>203</v>
      </c>
      <c r="C13" s="136"/>
      <c r="D13" s="136"/>
      <c r="E13" s="137">
        <f t="shared" si="0"/>
        <v>0</v>
      </c>
      <c r="F13" s="136"/>
      <c r="G13" s="136"/>
      <c r="H13" s="138">
        <f t="shared" si="1"/>
        <v>0</v>
      </c>
      <c r="K13" s="139"/>
    </row>
    <row r="14" spans="1:11" x14ac:dyDescent="0.3">
      <c r="A14" s="92">
        <v>5</v>
      </c>
      <c r="B14" s="141" t="s">
        <v>204</v>
      </c>
      <c r="C14" s="136">
        <f>C15+C16+C17+C23+C24+C25+C26</f>
        <v>887343.15</v>
      </c>
      <c r="D14" s="136">
        <f>D15+D16+D17+D23+D24+D25+D26</f>
        <v>141942387.79999998</v>
      </c>
      <c r="E14" s="137">
        <f t="shared" si="0"/>
        <v>142829730.94999999</v>
      </c>
      <c r="F14" s="136">
        <f>F15+F16+F17+F23+F24+F25+F26</f>
        <v>1007120</v>
      </c>
      <c r="G14" s="136">
        <f>G15+G16+G17+G23+G24+G25+G26</f>
        <v>97026932</v>
      </c>
      <c r="H14" s="138">
        <f t="shared" si="1"/>
        <v>98034052</v>
      </c>
      <c r="K14" s="139"/>
    </row>
    <row r="15" spans="1:11" x14ac:dyDescent="0.3">
      <c r="A15" s="92">
        <v>5.0999999999999996</v>
      </c>
      <c r="B15" s="142" t="s">
        <v>205</v>
      </c>
      <c r="C15" s="136">
        <v>883143.15</v>
      </c>
      <c r="D15" s="136">
        <v>626964.27</v>
      </c>
      <c r="E15" s="137">
        <f t="shared" si="0"/>
        <v>1510107.42</v>
      </c>
      <c r="F15" s="136">
        <v>986620</v>
      </c>
      <c r="G15" s="136">
        <v>1795825</v>
      </c>
      <c r="H15" s="138">
        <f t="shared" si="1"/>
        <v>2782445</v>
      </c>
      <c r="K15" s="139"/>
    </row>
    <row r="16" spans="1:11" x14ac:dyDescent="0.3">
      <c r="A16" s="92">
        <v>5.2</v>
      </c>
      <c r="B16" s="142" t="s">
        <v>206</v>
      </c>
      <c r="C16" s="136">
        <v>0</v>
      </c>
      <c r="D16" s="136">
        <v>0</v>
      </c>
      <c r="E16" s="137">
        <f t="shared" si="0"/>
        <v>0</v>
      </c>
      <c r="F16" s="136">
        <v>0</v>
      </c>
      <c r="G16" s="136">
        <v>0</v>
      </c>
      <c r="H16" s="138">
        <f t="shared" si="1"/>
        <v>0</v>
      </c>
      <c r="K16" s="139"/>
    </row>
    <row r="17" spans="1:11" x14ac:dyDescent="0.3">
      <c r="A17" s="92">
        <v>5.3</v>
      </c>
      <c r="B17" s="142" t="s">
        <v>207</v>
      </c>
      <c r="C17" s="136">
        <f>C18+C19+C20+C21+C22</f>
        <v>0</v>
      </c>
      <c r="D17" s="136">
        <f>D18+D19+D20+D21+D22</f>
        <v>108848859.83</v>
      </c>
      <c r="E17" s="137">
        <f t="shared" si="0"/>
        <v>108848859.83</v>
      </c>
      <c r="F17" s="136">
        <v>0</v>
      </c>
      <c r="G17" s="136">
        <v>82942830</v>
      </c>
      <c r="H17" s="138">
        <f t="shared" si="1"/>
        <v>82942830</v>
      </c>
      <c r="K17" s="139"/>
    </row>
    <row r="18" spans="1:11" x14ac:dyDescent="0.3">
      <c r="A18" s="92" t="s">
        <v>208</v>
      </c>
      <c r="B18" s="143" t="s">
        <v>209</v>
      </c>
      <c r="C18" s="136">
        <v>0</v>
      </c>
      <c r="D18" s="136">
        <v>56912634.439999998</v>
      </c>
      <c r="E18" s="137">
        <f t="shared" si="0"/>
        <v>56912634.439999998</v>
      </c>
      <c r="F18" s="136">
        <v>0</v>
      </c>
      <c r="G18" s="136">
        <v>22641426</v>
      </c>
      <c r="H18" s="138">
        <f t="shared" si="1"/>
        <v>22641426</v>
      </c>
      <c r="K18" s="139"/>
    </row>
    <row r="19" spans="1:11" x14ac:dyDescent="0.3">
      <c r="A19" s="92" t="s">
        <v>210</v>
      </c>
      <c r="B19" s="144" t="s">
        <v>211</v>
      </c>
      <c r="C19" s="136">
        <v>0</v>
      </c>
      <c r="D19" s="136">
        <v>21697482.66</v>
      </c>
      <c r="E19" s="137">
        <f t="shared" si="0"/>
        <v>21697482.66</v>
      </c>
      <c r="F19" s="136">
        <v>0</v>
      </c>
      <c r="G19" s="136">
        <v>19422062</v>
      </c>
      <c r="H19" s="138">
        <f t="shared" si="1"/>
        <v>19422062</v>
      </c>
      <c r="K19" s="139"/>
    </row>
    <row r="20" spans="1:11" x14ac:dyDescent="0.3">
      <c r="A20" s="92" t="s">
        <v>212</v>
      </c>
      <c r="B20" s="144" t="s">
        <v>213</v>
      </c>
      <c r="C20" s="136">
        <v>0</v>
      </c>
      <c r="D20" s="136">
        <v>1863941.92</v>
      </c>
      <c r="E20" s="137">
        <f t="shared" si="0"/>
        <v>1863941.92</v>
      </c>
      <c r="F20" s="136">
        <v>0</v>
      </c>
      <c r="G20" s="136">
        <v>1757336</v>
      </c>
      <c r="H20" s="138">
        <f t="shared" si="1"/>
        <v>1757336</v>
      </c>
      <c r="K20" s="139"/>
    </row>
    <row r="21" spans="1:11" x14ac:dyDescent="0.3">
      <c r="A21" s="92" t="s">
        <v>214</v>
      </c>
      <c r="B21" s="144" t="s">
        <v>215</v>
      </c>
      <c r="C21" s="136">
        <v>0</v>
      </c>
      <c r="D21" s="136">
        <v>28374800.809999999</v>
      </c>
      <c r="E21" s="137">
        <f t="shared" si="0"/>
        <v>28374800.809999999</v>
      </c>
      <c r="F21" s="136">
        <v>0</v>
      </c>
      <c r="G21" s="136">
        <v>39122006</v>
      </c>
      <c r="H21" s="138">
        <f t="shared" si="1"/>
        <v>39122006</v>
      </c>
      <c r="K21" s="139"/>
    </row>
    <row r="22" spans="1:11" x14ac:dyDescent="0.3">
      <c r="A22" s="92" t="s">
        <v>216</v>
      </c>
      <c r="B22" s="144" t="s">
        <v>217</v>
      </c>
      <c r="C22" s="136">
        <v>0</v>
      </c>
      <c r="D22" s="136">
        <v>0</v>
      </c>
      <c r="E22" s="137">
        <f t="shared" si="0"/>
        <v>0</v>
      </c>
      <c r="F22" s="136">
        <v>0</v>
      </c>
      <c r="G22" s="136">
        <v>0</v>
      </c>
      <c r="H22" s="138">
        <f t="shared" si="1"/>
        <v>0</v>
      </c>
      <c r="K22" s="139"/>
    </row>
    <row r="23" spans="1:11" x14ac:dyDescent="0.3">
      <c r="A23" s="92">
        <v>5.4</v>
      </c>
      <c r="B23" s="142" t="s">
        <v>218</v>
      </c>
      <c r="C23" s="136">
        <v>4200</v>
      </c>
      <c r="D23" s="136">
        <v>32466563.699999999</v>
      </c>
      <c r="E23" s="137">
        <f t="shared" si="0"/>
        <v>32470763.699999999</v>
      </c>
      <c r="F23" s="136">
        <v>20500</v>
      </c>
      <c r="G23" s="136">
        <v>12288277</v>
      </c>
      <c r="H23" s="138">
        <f t="shared" si="1"/>
        <v>12308777</v>
      </c>
      <c r="K23" s="139"/>
    </row>
    <row r="24" spans="1:11" x14ac:dyDescent="0.3">
      <c r="A24" s="92">
        <v>5.5</v>
      </c>
      <c r="B24" s="142" t="s">
        <v>219</v>
      </c>
      <c r="C24" s="136">
        <v>0</v>
      </c>
      <c r="D24" s="136">
        <v>0</v>
      </c>
      <c r="E24" s="137">
        <f t="shared" si="0"/>
        <v>0</v>
      </c>
      <c r="F24" s="136">
        <v>0</v>
      </c>
      <c r="G24" s="136">
        <v>0</v>
      </c>
      <c r="H24" s="138">
        <f t="shared" si="1"/>
        <v>0</v>
      </c>
      <c r="K24" s="139"/>
    </row>
    <row r="25" spans="1:11" x14ac:dyDescent="0.3">
      <c r="A25" s="92">
        <v>5.6</v>
      </c>
      <c r="B25" s="142" t="s">
        <v>220</v>
      </c>
      <c r="C25" s="136">
        <v>0</v>
      </c>
      <c r="D25" s="136">
        <v>0</v>
      </c>
      <c r="E25" s="137">
        <f t="shared" si="0"/>
        <v>0</v>
      </c>
      <c r="F25" s="136">
        <v>0</v>
      </c>
      <c r="G25" s="136">
        <v>0</v>
      </c>
      <c r="H25" s="138">
        <f t="shared" si="1"/>
        <v>0</v>
      </c>
      <c r="K25" s="139"/>
    </row>
    <row r="26" spans="1:11" x14ac:dyDescent="0.3">
      <c r="A26" s="92">
        <v>5.7</v>
      </c>
      <c r="B26" s="142" t="s">
        <v>217</v>
      </c>
      <c r="C26" s="136">
        <v>0</v>
      </c>
      <c r="D26" s="136">
        <v>0</v>
      </c>
      <c r="E26" s="137">
        <f t="shared" si="0"/>
        <v>0</v>
      </c>
      <c r="F26" s="136">
        <v>0</v>
      </c>
      <c r="G26" s="136">
        <v>0</v>
      </c>
      <c r="H26" s="138">
        <f t="shared" si="1"/>
        <v>0</v>
      </c>
      <c r="K26" s="139"/>
    </row>
    <row r="27" spans="1:11" x14ac:dyDescent="0.3">
      <c r="A27" s="92">
        <v>6</v>
      </c>
      <c r="B27" s="141" t="s">
        <v>221</v>
      </c>
      <c r="C27" s="136">
        <v>33003708.309999999</v>
      </c>
      <c r="D27" s="136">
        <v>161988</v>
      </c>
      <c r="E27" s="137">
        <f t="shared" si="0"/>
        <v>33165696.309999999</v>
      </c>
      <c r="F27" s="136">
        <v>2001074</v>
      </c>
      <c r="G27" s="136">
        <v>1278920</v>
      </c>
      <c r="H27" s="138">
        <f t="shared" si="1"/>
        <v>3279994</v>
      </c>
      <c r="K27" s="139"/>
    </row>
    <row r="28" spans="1:11" x14ac:dyDescent="0.3">
      <c r="A28" s="92">
        <v>7</v>
      </c>
      <c r="B28" s="141" t="s">
        <v>222</v>
      </c>
      <c r="C28" s="136">
        <v>250000</v>
      </c>
      <c r="D28" s="136">
        <v>242982</v>
      </c>
      <c r="E28" s="137">
        <f t="shared" si="0"/>
        <v>492982</v>
      </c>
      <c r="F28" s="136">
        <v>1546857</v>
      </c>
      <c r="G28" s="136">
        <v>2099823</v>
      </c>
      <c r="H28" s="138">
        <f t="shared" si="1"/>
        <v>3646680</v>
      </c>
      <c r="K28" s="139"/>
    </row>
    <row r="29" spans="1:11" x14ac:dyDescent="0.3">
      <c r="A29" s="92">
        <v>8</v>
      </c>
      <c r="B29" s="141" t="s">
        <v>223</v>
      </c>
      <c r="C29" s="136"/>
      <c r="D29" s="136"/>
      <c r="E29" s="137">
        <f t="shared" si="0"/>
        <v>0</v>
      </c>
      <c r="F29" s="136">
        <v>0</v>
      </c>
      <c r="G29" s="136">
        <v>0</v>
      </c>
      <c r="H29" s="138">
        <f t="shared" si="1"/>
        <v>0</v>
      </c>
      <c r="K29" s="139"/>
    </row>
    <row r="30" spans="1:11" x14ac:dyDescent="0.3">
      <c r="A30" s="92">
        <v>9</v>
      </c>
      <c r="B30" s="135" t="s">
        <v>224</v>
      </c>
      <c r="C30" s="136">
        <f>C31+C32+C33+C34+C35+C36+C37</f>
        <v>1360980</v>
      </c>
      <c r="D30" s="136">
        <f>D31+D32+D33+D34+D35+D36+D37</f>
        <v>5399600</v>
      </c>
      <c r="E30" s="137">
        <f t="shared" si="0"/>
        <v>6760580</v>
      </c>
      <c r="F30" s="136">
        <f>F31+F32+F33+F34+F35+F36+F37</f>
        <v>1315000</v>
      </c>
      <c r="G30" s="136">
        <f>G31+G32+G33+G34+G35+G36+G37</f>
        <v>16171800</v>
      </c>
      <c r="H30" s="138">
        <f t="shared" si="1"/>
        <v>17486800</v>
      </c>
      <c r="K30" s="139"/>
    </row>
    <row r="31" spans="1:11" ht="27.6" x14ac:dyDescent="0.3">
      <c r="A31" s="92">
        <v>9.1</v>
      </c>
      <c r="B31" s="140" t="s">
        <v>225</v>
      </c>
      <c r="C31" s="136">
        <v>0</v>
      </c>
      <c r="D31" s="136">
        <v>0</v>
      </c>
      <c r="E31" s="137">
        <f t="shared" si="0"/>
        <v>0</v>
      </c>
      <c r="F31" s="136">
        <v>0</v>
      </c>
      <c r="G31" s="136">
        <v>0</v>
      </c>
      <c r="H31" s="138">
        <f t="shared" si="1"/>
        <v>0</v>
      </c>
      <c r="K31" s="139"/>
    </row>
    <row r="32" spans="1:11" ht="27.6" x14ac:dyDescent="0.3">
      <c r="A32" s="92">
        <v>9.1999999999999993</v>
      </c>
      <c r="B32" s="140" t="s">
        <v>226</v>
      </c>
      <c r="C32" s="136">
        <v>1360980</v>
      </c>
      <c r="D32" s="136">
        <v>5399600</v>
      </c>
      <c r="E32" s="137">
        <f t="shared" si="0"/>
        <v>6760580</v>
      </c>
      <c r="F32" s="136">
        <v>1315000</v>
      </c>
      <c r="G32" s="136">
        <v>16171800</v>
      </c>
      <c r="H32" s="138">
        <f t="shared" si="1"/>
        <v>17486800</v>
      </c>
      <c r="K32" s="139"/>
    </row>
    <row r="33" spans="1:11" ht="27.6" x14ac:dyDescent="0.3">
      <c r="A33" s="92">
        <v>9.3000000000000007</v>
      </c>
      <c r="B33" s="140" t="s">
        <v>227</v>
      </c>
      <c r="C33" s="136">
        <v>0</v>
      </c>
      <c r="D33" s="136">
        <v>0</v>
      </c>
      <c r="E33" s="137">
        <f t="shared" si="0"/>
        <v>0</v>
      </c>
      <c r="F33" s="136">
        <v>0</v>
      </c>
      <c r="G33" s="136">
        <v>0</v>
      </c>
      <c r="H33" s="138">
        <f t="shared" si="1"/>
        <v>0</v>
      </c>
      <c r="K33" s="139"/>
    </row>
    <row r="34" spans="1:11" x14ac:dyDescent="0.3">
      <c r="A34" s="92">
        <v>9.4</v>
      </c>
      <c r="B34" s="140" t="s">
        <v>228</v>
      </c>
      <c r="C34" s="136">
        <v>0</v>
      </c>
      <c r="D34" s="136">
        <v>0</v>
      </c>
      <c r="E34" s="137">
        <f t="shared" si="0"/>
        <v>0</v>
      </c>
      <c r="F34" s="136">
        <v>0</v>
      </c>
      <c r="G34" s="136">
        <v>0</v>
      </c>
      <c r="H34" s="138">
        <f t="shared" si="1"/>
        <v>0</v>
      </c>
      <c r="K34" s="139"/>
    </row>
    <row r="35" spans="1:11" x14ac:dyDescent="0.3">
      <c r="A35" s="92">
        <v>9.5</v>
      </c>
      <c r="B35" s="140" t="s">
        <v>229</v>
      </c>
      <c r="C35" s="136">
        <v>0</v>
      </c>
      <c r="D35" s="136">
        <v>0</v>
      </c>
      <c r="E35" s="137">
        <f t="shared" si="0"/>
        <v>0</v>
      </c>
      <c r="F35" s="136">
        <v>0</v>
      </c>
      <c r="G35" s="136">
        <v>0</v>
      </c>
      <c r="H35" s="138">
        <f t="shared" si="1"/>
        <v>0</v>
      </c>
      <c r="K35" s="139"/>
    </row>
    <row r="36" spans="1:11" ht="27.6" x14ac:dyDescent="0.3">
      <c r="A36" s="92">
        <v>9.6</v>
      </c>
      <c r="B36" s="140" t="s">
        <v>230</v>
      </c>
      <c r="C36" s="136">
        <v>0</v>
      </c>
      <c r="D36" s="136">
        <v>0</v>
      </c>
      <c r="E36" s="137">
        <f t="shared" si="0"/>
        <v>0</v>
      </c>
      <c r="F36" s="136">
        <v>0</v>
      </c>
      <c r="G36" s="136">
        <v>0</v>
      </c>
      <c r="H36" s="138">
        <f t="shared" si="1"/>
        <v>0</v>
      </c>
      <c r="K36" s="139"/>
    </row>
    <row r="37" spans="1:11" ht="27.6" x14ac:dyDescent="0.3">
      <c r="A37" s="92">
        <v>9.6999999999999993</v>
      </c>
      <c r="B37" s="140" t="s">
        <v>231</v>
      </c>
      <c r="C37" s="136">
        <v>0</v>
      </c>
      <c r="D37" s="136">
        <v>0</v>
      </c>
      <c r="E37" s="137">
        <f t="shared" si="0"/>
        <v>0</v>
      </c>
      <c r="F37" s="136">
        <v>0</v>
      </c>
      <c r="G37" s="136">
        <v>0</v>
      </c>
      <c r="H37" s="138">
        <f t="shared" si="1"/>
        <v>0</v>
      </c>
      <c r="K37" s="139"/>
    </row>
    <row r="38" spans="1:11" x14ac:dyDescent="0.3">
      <c r="A38" s="92">
        <v>10</v>
      </c>
      <c r="B38" s="141" t="s">
        <v>232</v>
      </c>
      <c r="C38" s="136">
        <f>C41+C42</f>
        <v>2954168.75</v>
      </c>
      <c r="D38" s="136">
        <f>D41+D42</f>
        <v>2506368.06</v>
      </c>
      <c r="E38" s="137">
        <f t="shared" si="0"/>
        <v>5460536.8100000005</v>
      </c>
      <c r="F38" s="136">
        <f>F41+F42</f>
        <v>2663943</v>
      </c>
      <c r="G38" s="136">
        <f>G41+G42</f>
        <v>2365057</v>
      </c>
      <c r="H38" s="138">
        <f t="shared" si="1"/>
        <v>5029000</v>
      </c>
      <c r="K38" s="139"/>
    </row>
    <row r="39" spans="1:11" x14ac:dyDescent="0.3">
      <c r="A39" s="92">
        <v>10.1</v>
      </c>
      <c r="B39" s="140" t="s">
        <v>233</v>
      </c>
      <c r="C39" s="136">
        <v>17712.150000000001</v>
      </c>
      <c r="D39" s="136">
        <v>0</v>
      </c>
      <c r="E39" s="137">
        <f t="shared" si="0"/>
        <v>17712.150000000001</v>
      </c>
      <c r="F39" s="136">
        <v>50993.489999999991</v>
      </c>
      <c r="G39" s="136">
        <v>0</v>
      </c>
      <c r="H39" s="138">
        <f t="shared" si="1"/>
        <v>50993.489999999991</v>
      </c>
      <c r="K39" s="139"/>
    </row>
    <row r="40" spans="1:11" ht="27.6" x14ac:dyDescent="0.3">
      <c r="A40" s="92">
        <v>10.199999999999999</v>
      </c>
      <c r="B40" s="140" t="s">
        <v>234</v>
      </c>
      <c r="C40" s="136">
        <v>1804521.01</v>
      </c>
      <c r="D40" s="136">
        <v>2218191.58</v>
      </c>
      <c r="E40" s="137">
        <f t="shared" si="0"/>
        <v>4022712.59</v>
      </c>
      <c r="F40" s="136">
        <v>1583433</v>
      </c>
      <c r="G40" s="136">
        <v>2215964</v>
      </c>
      <c r="H40" s="138">
        <f t="shared" si="1"/>
        <v>3799397</v>
      </c>
      <c r="K40" s="139"/>
    </row>
    <row r="41" spans="1:11" ht="27.6" x14ac:dyDescent="0.3">
      <c r="A41" s="92">
        <v>10.3</v>
      </c>
      <c r="B41" s="140" t="s">
        <v>235</v>
      </c>
      <c r="C41" s="136">
        <v>891791.84</v>
      </c>
      <c r="D41" s="136">
        <v>175012.98</v>
      </c>
      <c r="E41" s="137">
        <f t="shared" si="0"/>
        <v>1066804.82</v>
      </c>
      <c r="F41" s="136">
        <v>765707</v>
      </c>
      <c r="G41" s="136">
        <v>15247</v>
      </c>
      <c r="H41" s="138">
        <f t="shared" si="1"/>
        <v>780954</v>
      </c>
      <c r="K41" s="139"/>
    </row>
    <row r="42" spans="1:11" ht="27.6" x14ac:dyDescent="0.3">
      <c r="A42" s="92">
        <v>10.4</v>
      </c>
      <c r="B42" s="140" t="s">
        <v>236</v>
      </c>
      <c r="C42" s="136">
        <v>2062376.91</v>
      </c>
      <c r="D42" s="136">
        <v>2331355.08</v>
      </c>
      <c r="E42" s="137">
        <f t="shared" si="0"/>
        <v>4393731.99</v>
      </c>
      <c r="F42" s="136">
        <v>1898236</v>
      </c>
      <c r="G42" s="136">
        <v>2349810</v>
      </c>
      <c r="H42" s="138">
        <f t="shared" si="1"/>
        <v>4248046</v>
      </c>
      <c r="K42" s="139"/>
    </row>
    <row r="43" spans="1:11" x14ac:dyDescent="0.3">
      <c r="A43" s="92">
        <v>11</v>
      </c>
      <c r="B43" s="145" t="s">
        <v>237</v>
      </c>
      <c r="C43" s="136">
        <v>0</v>
      </c>
      <c r="D43" s="136">
        <v>0</v>
      </c>
      <c r="E43" s="137">
        <f t="shared" si="0"/>
        <v>0</v>
      </c>
      <c r="F43" s="136">
        <v>0</v>
      </c>
      <c r="G43" s="136">
        <v>0</v>
      </c>
      <c r="H43" s="138">
        <f t="shared" si="1"/>
        <v>0</v>
      </c>
      <c r="K43" s="139"/>
    </row>
    <row r="44" spans="1:11" x14ac:dyDescent="0.3">
      <c r="C44" s="146"/>
      <c r="D44" s="146"/>
      <c r="E44" s="146"/>
      <c r="F44" s="146"/>
      <c r="G44" s="146"/>
      <c r="H44" s="146"/>
    </row>
    <row r="45" spans="1:11" x14ac:dyDescent="0.3">
      <c r="C45" s="146"/>
      <c r="D45" s="146"/>
      <c r="E45" s="146"/>
      <c r="F45" s="146"/>
      <c r="G45" s="146"/>
      <c r="H45" s="146"/>
    </row>
    <row r="46" spans="1:11" x14ac:dyDescent="0.3">
      <c r="C46" s="146"/>
      <c r="D46" s="146"/>
      <c r="E46" s="146"/>
      <c r="F46" s="146"/>
      <c r="G46" s="146"/>
      <c r="H46" s="146"/>
    </row>
    <row r="47" spans="1:11" x14ac:dyDescent="0.3">
      <c r="C47" s="146"/>
      <c r="D47" s="146"/>
      <c r="E47" s="146"/>
      <c r="F47" s="146"/>
      <c r="G47" s="146"/>
      <c r="H47" s="14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923D7-CD2F-4871-B219-0820E99A1654}">
  <sheetPr>
    <tabColor theme="2" tint="-9.9978637043366805E-2"/>
  </sheetPr>
  <dimension ref="A1:G18"/>
  <sheetViews>
    <sheetView zoomScale="80" zoomScaleNormal="80" workbookViewId="0">
      <pane xSplit="1" ySplit="4" topLeftCell="B5" activePane="bottomRight" state="frozen"/>
      <selection activeCell="B15" sqref="B15:C15"/>
      <selection pane="topRight" activeCell="B15" sqref="B15:C15"/>
      <selection pane="bottomLeft" activeCell="B15" sqref="B15:C15"/>
      <selection pane="bottomRight" activeCell="C7" sqref="C7:G12"/>
    </sheetView>
  </sheetViews>
  <sheetFormatPr defaultColWidth="9.33203125" defaultRowHeight="13.8" x14ac:dyDescent="0.3"/>
  <cols>
    <col min="1" max="1" width="9.5546875" style="18" bestFit="1" customWidth="1"/>
    <col min="2" max="2" width="93.5546875" style="18" customWidth="1"/>
    <col min="3" max="4" width="12.6640625" style="18" customWidth="1"/>
    <col min="5" max="11" width="9.6640625" style="147" customWidth="1"/>
    <col min="12" max="16384" width="9.33203125" style="147"/>
  </cols>
  <sheetData>
    <row r="1" spans="1:7" x14ac:dyDescent="0.3">
      <c r="A1" s="19" t="s">
        <v>44</v>
      </c>
      <c r="B1" s="21" t="str">
        <f>Info!C2</f>
        <v>სს სილქ ბანკი</v>
      </c>
      <c r="C1" s="21"/>
    </row>
    <row r="2" spans="1:7" x14ac:dyDescent="0.3">
      <c r="A2" s="19" t="s">
        <v>45</v>
      </c>
      <c r="B2" s="22">
        <f>'1. key ratios'!B2</f>
        <v>46112</v>
      </c>
      <c r="C2" s="21"/>
    </row>
    <row r="3" spans="1:7" x14ac:dyDescent="0.3">
      <c r="A3" s="19"/>
      <c r="B3" s="21"/>
      <c r="C3" s="21"/>
    </row>
    <row r="4" spans="1:7" ht="15" customHeight="1" thickBot="1" x14ac:dyDescent="0.35">
      <c r="A4" s="148" t="s">
        <v>238</v>
      </c>
      <c r="B4" s="149" t="s">
        <v>16</v>
      </c>
      <c r="C4" s="150" t="s">
        <v>239</v>
      </c>
    </row>
    <row r="5" spans="1:7" ht="15" customHeight="1" x14ac:dyDescent="0.2">
      <c r="A5" s="151" t="s">
        <v>48</v>
      </c>
      <c r="B5" s="152"/>
      <c r="C5" s="28" t="str">
        <f>INT((MONTH($B$2))/3)&amp;"Q"&amp;"-"&amp;YEAR($B$2)</f>
        <v>1Q-2026</v>
      </c>
      <c r="D5" s="28" t="str">
        <f>IF(INT(MONTH($B$2))=3, "4"&amp;"Q"&amp;"-"&amp;YEAR($B$2)-1, IF(INT(MONTH($B$2))=6, "1"&amp;"Q"&amp;"-"&amp;YEAR($B$2), IF(INT(MONTH($B$2))=9, "2"&amp;"Q"&amp;"-"&amp;YEAR($B$2),IF(INT(MONTH($B$2))=12, "3"&amp;"Q"&amp;"-"&amp;YEAR($B$2), 0))))</f>
        <v>4Q-2025</v>
      </c>
      <c r="E5" s="28" t="str">
        <f>IF(INT(MONTH($B$2))=3, "3"&amp;"Q"&amp;"-"&amp;YEAR($B$2)-1, IF(INT(MONTH($B$2))=6, "4"&amp;"Q"&amp;"-"&amp;YEAR($B$2)-1, IF(INT(MONTH($B$2))=9, "1"&amp;"Q"&amp;"-"&amp;YEAR($B$2),IF(INT(MONTH($B$2))=12, "2"&amp;"Q"&amp;"-"&amp;YEAR($B$2), 0))))</f>
        <v>3Q-2025</v>
      </c>
      <c r="F5" s="28" t="str">
        <f>IF(INT(MONTH($B$2))=3, "2"&amp;"Q"&amp;"-"&amp;YEAR($B$2)-1, IF(INT(MONTH($B$2))=6, "3"&amp;"Q"&amp;"-"&amp;YEAR($B$2)-1, IF(INT(MONTH($B$2))=9, "4"&amp;"Q"&amp;"-"&amp;YEAR($B$2)-1,IF(INT(MONTH($B$2))=12, "1"&amp;"Q"&amp;"-"&amp;YEAR($B$2), 0))))</f>
        <v>2Q-2025</v>
      </c>
      <c r="G5" s="28" t="str">
        <f>IF(INT(MONTH($B$2))=3, "1"&amp;"Q"&amp;"-"&amp;YEAR($B$2)-1, IF(INT(MONTH($B$2))=6, "2"&amp;"Q"&amp;"-"&amp;YEAR($B$2)-1, IF(INT(MONTH($B$2))=9, "3"&amp;"Q"&amp;"-"&amp;YEAR($B$2)-1,IF(INT(MONTH($B$2))=12, "4"&amp;"Q"&amp;"-"&amp;YEAR($B$2)-1, 0))))</f>
        <v>1Q-2025</v>
      </c>
    </row>
    <row r="6" spans="1:7" ht="15" customHeight="1" x14ac:dyDescent="0.2">
      <c r="A6" s="153">
        <v>1</v>
      </c>
      <c r="B6" s="154" t="s">
        <v>240</v>
      </c>
      <c r="C6" s="155">
        <f>C7+C9+C10</f>
        <v>151824576.40513247</v>
      </c>
      <c r="D6" s="156">
        <f>D7+D9+D10</f>
        <v>145706383.77027056</v>
      </c>
      <c r="E6" s="157">
        <f t="shared" ref="E6:G6" si="0">E7+E9+E10</f>
        <v>148642302.87270808</v>
      </c>
      <c r="F6" s="155">
        <f t="shared" si="0"/>
        <v>172542766.40225288</v>
      </c>
      <c r="G6" s="158">
        <f t="shared" si="0"/>
        <v>167463265.40874037</v>
      </c>
    </row>
    <row r="7" spans="1:7" ht="15" customHeight="1" x14ac:dyDescent="0.2">
      <c r="A7" s="153">
        <v>1.1000000000000001</v>
      </c>
      <c r="B7" s="159" t="s">
        <v>241</v>
      </c>
      <c r="C7" s="160">
        <v>151553984.12985319</v>
      </c>
      <c r="D7" s="160">
        <v>145071090.72343233</v>
      </c>
      <c r="E7" s="161">
        <v>146484655.09116799</v>
      </c>
      <c r="F7" s="160">
        <v>165584103.08941412</v>
      </c>
      <c r="G7" s="162">
        <v>160349597.18862849</v>
      </c>
    </row>
    <row r="8" spans="1:7" ht="27.6" x14ac:dyDescent="0.2">
      <c r="A8" s="153" t="s">
        <v>242</v>
      </c>
      <c r="B8" s="163" t="s">
        <v>243</v>
      </c>
      <c r="C8" s="160"/>
      <c r="D8" s="160"/>
      <c r="E8" s="161"/>
      <c r="F8" s="160"/>
      <c r="G8" s="162"/>
    </row>
    <row r="9" spans="1:7" ht="15" customHeight="1" x14ac:dyDescent="0.2">
      <c r="A9" s="153">
        <v>1.2</v>
      </c>
      <c r="B9" s="159" t="s">
        <v>244</v>
      </c>
      <c r="C9" s="160">
        <v>0</v>
      </c>
      <c r="D9" s="160">
        <v>0</v>
      </c>
      <c r="E9" s="161">
        <v>286628.37673829147</v>
      </c>
      <c r="F9" s="160">
        <v>4960405.2892759386</v>
      </c>
      <c r="G9" s="162">
        <v>6164403.5602633301</v>
      </c>
    </row>
    <row r="10" spans="1:7" ht="15" customHeight="1" x14ac:dyDescent="0.2">
      <c r="A10" s="153">
        <v>1.3</v>
      </c>
      <c r="B10" s="164" t="s">
        <v>30</v>
      </c>
      <c r="C10" s="160">
        <v>270592.27527928934</v>
      </c>
      <c r="D10" s="160">
        <v>635293.04683823301</v>
      </c>
      <c r="E10" s="161">
        <v>1871019.4048018074</v>
      </c>
      <c r="F10" s="160">
        <v>1998258.0235628074</v>
      </c>
      <c r="G10" s="162">
        <v>949264.65984853276</v>
      </c>
    </row>
    <row r="11" spans="1:7" ht="15" customHeight="1" x14ac:dyDescent="0.2">
      <c r="A11" s="153">
        <v>2</v>
      </c>
      <c r="B11" s="154" t="s">
        <v>245</v>
      </c>
      <c r="C11" s="160">
        <v>699618.33617624221</v>
      </c>
      <c r="D11" s="160">
        <v>539801.02856109454</v>
      </c>
      <c r="E11" s="161">
        <v>572800.80910943798</v>
      </c>
      <c r="F11" s="160">
        <v>2161740.4267189819</v>
      </c>
      <c r="G11" s="162">
        <v>930743.94357080269</v>
      </c>
    </row>
    <row r="12" spans="1:7" ht="15" customHeight="1" x14ac:dyDescent="0.2">
      <c r="A12" s="153">
        <v>3</v>
      </c>
      <c r="B12" s="154" t="s">
        <v>246</v>
      </c>
      <c r="C12" s="160">
        <v>16426952.031259194</v>
      </c>
      <c r="D12" s="160">
        <v>16426952.031259194</v>
      </c>
      <c r="E12" s="161">
        <v>11330379.510855546</v>
      </c>
      <c r="F12" s="160">
        <v>11330379.510855546</v>
      </c>
      <c r="G12" s="162">
        <v>11330379.510855546</v>
      </c>
    </row>
    <row r="13" spans="1:7" ht="15" customHeight="1" thickBot="1" x14ac:dyDescent="0.25">
      <c r="A13" s="165">
        <v>4</v>
      </c>
      <c r="B13" s="166" t="s">
        <v>247</v>
      </c>
      <c r="C13" s="167">
        <f>C6+C11+C12</f>
        <v>168951146.77256793</v>
      </c>
      <c r="D13" s="168">
        <f>D6+D11+D12</f>
        <v>162673136.83009082</v>
      </c>
      <c r="E13" s="169">
        <f t="shared" ref="E13:G13" si="1">E6+E11+E12</f>
        <v>160545483.19267309</v>
      </c>
      <c r="F13" s="167">
        <f t="shared" si="1"/>
        <v>186034886.33982742</v>
      </c>
      <c r="G13" s="170">
        <f t="shared" si="1"/>
        <v>179724388.86316672</v>
      </c>
    </row>
    <row r="14" spans="1:7" x14ac:dyDescent="0.3">
      <c r="B14" s="87"/>
    </row>
    <row r="15" spans="1:7" x14ac:dyDescent="0.3">
      <c r="B15" s="87"/>
    </row>
    <row r="16" spans="1:7" x14ac:dyDescent="0.3">
      <c r="B16" s="87"/>
    </row>
    <row r="17" spans="2:2" x14ac:dyDescent="0.3">
      <c r="B17" s="87"/>
    </row>
    <row r="18" spans="2:2" x14ac:dyDescent="0.3">
      <c r="B18" s="8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CAFA-56DF-471C-BC23-A56A3AC3C8C6}">
  <sheetPr>
    <tabColor theme="2" tint="-9.9978637043366805E-2"/>
  </sheetPr>
  <dimension ref="A1:C35"/>
  <sheetViews>
    <sheetView showGridLines="0" zoomScale="115" zoomScaleNormal="115" workbookViewId="0">
      <pane xSplit="1" ySplit="4" topLeftCell="B20" activePane="bottomRight" state="frozen"/>
      <selection activeCell="B15" sqref="B15:C15"/>
      <selection pane="topRight" activeCell="B15" sqref="B15:C15"/>
      <selection pane="bottomLeft" activeCell="B15" sqref="B15:C15"/>
      <selection pane="bottomRight" activeCell="C26" sqref="C26:C34"/>
    </sheetView>
  </sheetViews>
  <sheetFormatPr defaultRowHeight="14.4" x14ac:dyDescent="0.3"/>
  <cols>
    <col min="1" max="1" width="9.5546875" style="18" bestFit="1" customWidth="1"/>
    <col min="2" max="2" width="58.6640625" style="18" customWidth="1"/>
    <col min="3" max="3" width="41.77734375" style="18" customWidth="1"/>
  </cols>
  <sheetData>
    <row r="1" spans="1:3" x14ac:dyDescent="0.3">
      <c r="A1" s="18" t="s">
        <v>44</v>
      </c>
      <c r="B1" s="18" t="str">
        <f>Info!C2</f>
        <v>სს სილქ ბანკი</v>
      </c>
    </row>
    <row r="2" spans="1:3" x14ac:dyDescent="0.3">
      <c r="A2" s="18" t="s">
        <v>45</v>
      </c>
      <c r="B2" s="22">
        <f>'1. key ratios'!B2</f>
        <v>46112</v>
      </c>
    </row>
    <row r="4" spans="1:3" ht="25.5" customHeight="1" thickBot="1" x14ac:dyDescent="0.35">
      <c r="A4" s="171" t="s">
        <v>248</v>
      </c>
      <c r="B4" s="172" t="s">
        <v>17</v>
      </c>
      <c r="C4" s="173"/>
    </row>
    <row r="5" spans="1:3" x14ac:dyDescent="0.3">
      <c r="A5" s="174"/>
      <c r="B5" s="175" t="s">
        <v>249</v>
      </c>
      <c r="C5" s="133" t="s">
        <v>250</v>
      </c>
    </row>
    <row r="6" spans="1:3" ht="15" x14ac:dyDescent="0.35">
      <c r="A6" s="176">
        <v>1</v>
      </c>
      <c r="B6" s="177" t="s">
        <v>251</v>
      </c>
      <c r="C6" s="178" t="s">
        <v>252</v>
      </c>
    </row>
    <row r="7" spans="1:3" ht="15" x14ac:dyDescent="0.35">
      <c r="A7" s="176">
        <v>2</v>
      </c>
      <c r="B7" s="177" t="s">
        <v>253</v>
      </c>
      <c r="C7" s="178" t="s">
        <v>254</v>
      </c>
    </row>
    <row r="8" spans="1:3" ht="15" x14ac:dyDescent="0.35">
      <c r="A8" s="176">
        <v>3</v>
      </c>
      <c r="B8" s="177" t="s">
        <v>255</v>
      </c>
      <c r="C8" s="178" t="s">
        <v>254</v>
      </c>
    </row>
    <row r="9" spans="1:3" ht="15" x14ac:dyDescent="0.35">
      <c r="A9" s="176">
        <v>4</v>
      </c>
      <c r="B9" s="177" t="s">
        <v>256</v>
      </c>
      <c r="C9" s="178" t="s">
        <v>257</v>
      </c>
    </row>
    <row r="10" spans="1:3" ht="15" x14ac:dyDescent="0.35">
      <c r="A10" s="176">
        <v>5</v>
      </c>
      <c r="B10" s="177" t="s">
        <v>258</v>
      </c>
      <c r="C10" s="178" t="s">
        <v>257</v>
      </c>
    </row>
    <row r="11" spans="1:3" ht="15" x14ac:dyDescent="0.35">
      <c r="A11" s="176"/>
      <c r="B11" s="815"/>
      <c r="C11" s="816"/>
    </row>
    <row r="12" spans="1:3" ht="41.4" x14ac:dyDescent="0.3">
      <c r="A12" s="176"/>
      <c r="B12" s="179" t="s">
        <v>259</v>
      </c>
      <c r="C12" s="180" t="s">
        <v>260</v>
      </c>
    </row>
    <row r="13" spans="1:3" x14ac:dyDescent="0.3">
      <c r="A13" s="176">
        <v>1</v>
      </c>
      <c r="B13" s="181" t="s">
        <v>261</v>
      </c>
      <c r="C13" s="182" t="s">
        <v>262</v>
      </c>
    </row>
    <row r="14" spans="1:3" x14ac:dyDescent="0.3">
      <c r="A14" s="176">
        <v>2</v>
      </c>
      <c r="B14" s="181" t="s">
        <v>263</v>
      </c>
      <c r="C14" s="182" t="s">
        <v>264</v>
      </c>
    </row>
    <row r="15" spans="1:3" x14ac:dyDescent="0.3">
      <c r="A15" s="176">
        <v>3</v>
      </c>
      <c r="B15" s="181" t="s">
        <v>265</v>
      </c>
      <c r="C15" s="182" t="s">
        <v>266</v>
      </c>
    </row>
    <row r="16" spans="1:3" x14ac:dyDescent="0.3">
      <c r="A16" s="176">
        <v>4</v>
      </c>
      <c r="B16" s="181" t="s">
        <v>267</v>
      </c>
      <c r="C16" s="182" t="s">
        <v>268</v>
      </c>
    </row>
    <row r="17" spans="1:3" x14ac:dyDescent="0.3">
      <c r="A17" s="176">
        <v>5</v>
      </c>
      <c r="B17" s="181" t="s">
        <v>269</v>
      </c>
      <c r="C17" s="182" t="s">
        <v>270</v>
      </c>
    </row>
    <row r="18" spans="1:3" x14ac:dyDescent="0.3">
      <c r="A18" s="176">
        <v>6</v>
      </c>
      <c r="B18" s="181" t="s">
        <v>271</v>
      </c>
      <c r="C18" s="182" t="s">
        <v>272</v>
      </c>
    </row>
    <row r="19" spans="1:3" ht="15.75" customHeight="1" x14ac:dyDescent="0.3">
      <c r="A19" s="176"/>
      <c r="B19" s="181"/>
      <c r="C19" s="183"/>
    </row>
    <row r="20" spans="1:3" ht="30" customHeight="1" x14ac:dyDescent="0.3">
      <c r="A20" s="176"/>
      <c r="B20" s="817" t="s">
        <v>273</v>
      </c>
      <c r="C20" s="818"/>
    </row>
    <row r="21" spans="1:3" ht="15" x14ac:dyDescent="0.35">
      <c r="A21" s="176">
        <v>1</v>
      </c>
      <c r="B21" s="177" t="s">
        <v>274</v>
      </c>
      <c r="C21" s="775">
        <v>0.55713429999999997</v>
      </c>
    </row>
    <row r="22" spans="1:3" ht="15" x14ac:dyDescent="0.35">
      <c r="A22" s="176">
        <v>2</v>
      </c>
      <c r="B22" s="177" t="s">
        <v>275</v>
      </c>
      <c r="C22" s="775">
        <v>0.34483239999999998</v>
      </c>
    </row>
    <row r="23" spans="1:3" ht="15" x14ac:dyDescent="0.35">
      <c r="A23" s="176">
        <v>3</v>
      </c>
      <c r="B23" s="177" t="s">
        <v>276</v>
      </c>
      <c r="C23" s="775">
        <v>9.8003599999999996E-2</v>
      </c>
    </row>
    <row r="24" spans="1:3" ht="15.75" customHeight="1" x14ac:dyDescent="0.35">
      <c r="A24" s="176"/>
      <c r="B24" s="177"/>
      <c r="C24" s="184"/>
    </row>
    <row r="25" spans="1:3" ht="29.25" customHeight="1" x14ac:dyDescent="0.3">
      <c r="A25" s="176"/>
      <c r="B25" s="817" t="s">
        <v>277</v>
      </c>
      <c r="C25" s="818"/>
    </row>
    <row r="26" spans="1:3" ht="15" x14ac:dyDescent="0.35">
      <c r="A26" s="176">
        <v>1</v>
      </c>
      <c r="B26" s="177" t="s">
        <v>274</v>
      </c>
      <c r="C26" s="787">
        <v>0.55713429999999997</v>
      </c>
    </row>
    <row r="27" spans="1:3" ht="15" x14ac:dyDescent="0.35">
      <c r="A27" s="185">
        <v>1.1000000000000001</v>
      </c>
      <c r="B27" s="186" t="s">
        <v>278</v>
      </c>
      <c r="C27" s="788">
        <v>0.34487000000000001</v>
      </c>
    </row>
    <row r="28" spans="1:3" ht="15" x14ac:dyDescent="0.35">
      <c r="A28" s="185">
        <v>1.2</v>
      </c>
      <c r="B28" s="186" t="s">
        <v>279</v>
      </c>
      <c r="C28" s="788">
        <v>0.15923000000000001</v>
      </c>
    </row>
    <row r="29" spans="1:3" ht="15" x14ac:dyDescent="0.35">
      <c r="A29" s="185">
        <v>1.3</v>
      </c>
      <c r="B29" s="186" t="s">
        <v>280</v>
      </c>
      <c r="C29" s="788">
        <v>5.3039999999999997E-2</v>
      </c>
    </row>
    <row r="30" spans="1:3" ht="15" x14ac:dyDescent="0.35">
      <c r="A30" s="185">
        <v>2</v>
      </c>
      <c r="B30" s="186" t="s">
        <v>275</v>
      </c>
      <c r="C30" s="788">
        <v>0.34483239999999998</v>
      </c>
    </row>
    <row r="31" spans="1:3" ht="28.8" x14ac:dyDescent="0.35">
      <c r="A31" s="185">
        <v>2.1</v>
      </c>
      <c r="B31" s="186" t="s">
        <v>281</v>
      </c>
      <c r="C31" s="789">
        <v>0.34483239999999998</v>
      </c>
    </row>
    <row r="32" spans="1:3" ht="15" x14ac:dyDescent="0.35">
      <c r="A32" s="187" t="s">
        <v>282</v>
      </c>
      <c r="B32" s="186" t="s">
        <v>283</v>
      </c>
      <c r="C32" s="788">
        <v>0.34483239999999998</v>
      </c>
    </row>
    <row r="33" spans="1:3" ht="15" x14ac:dyDescent="0.35">
      <c r="A33" s="187">
        <v>3</v>
      </c>
      <c r="B33" s="186" t="s">
        <v>276</v>
      </c>
      <c r="C33" s="788">
        <v>9.8003599999999996E-2</v>
      </c>
    </row>
    <row r="34" spans="1:3" ht="15" x14ac:dyDescent="0.35">
      <c r="A34" s="187">
        <v>3.1</v>
      </c>
      <c r="B34" s="186" t="s">
        <v>284</v>
      </c>
      <c r="C34" s="788">
        <v>8.7220000000000006E-2</v>
      </c>
    </row>
    <row r="35" spans="1:3" ht="15.6" thickBot="1" x14ac:dyDescent="0.4">
      <c r="A35" s="188"/>
      <c r="B35" s="189"/>
      <c r="C35" s="190"/>
    </row>
  </sheetData>
  <mergeCells count="3">
    <mergeCell ref="B11:C11"/>
    <mergeCell ref="B20:C20"/>
    <mergeCell ref="B25:C25"/>
  </mergeCells>
  <dataValidations count="1">
    <dataValidation type="list" allowBlank="1" showInputMessage="1" showErrorMessage="1" sqref="C6:C10" xr:uid="{64DB56A0-C542-4459-BBC9-F1E95FB7BD43}">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9596F-5968-4EE7-9CD3-8976CA8F4886}">
  <sheetPr>
    <tabColor theme="2" tint="-9.9978637043366805E-2"/>
  </sheetPr>
  <dimension ref="A1:G53"/>
  <sheetViews>
    <sheetView zoomScale="115" zoomScaleNormal="115" workbookViewId="0">
      <pane xSplit="1" ySplit="5" topLeftCell="B24" activePane="bottomRight" state="frozen"/>
      <selection activeCell="B15" sqref="B15:C15"/>
      <selection pane="topRight" activeCell="B15" sqref="B15:C15"/>
      <selection pane="bottomLeft" activeCell="B15" sqref="B15:C15"/>
      <selection pane="bottomRight" activeCell="C8" sqref="C8:E37"/>
    </sheetView>
  </sheetViews>
  <sheetFormatPr defaultRowHeight="14.4" x14ac:dyDescent="0.3"/>
  <cols>
    <col min="1" max="1" width="9.5546875" style="18" bestFit="1" customWidth="1"/>
    <col min="2" max="2" width="47.5546875" style="18" customWidth="1"/>
    <col min="3" max="3" width="28" style="18" customWidth="1"/>
    <col min="4" max="4" width="25.6640625" style="18" customWidth="1"/>
    <col min="5" max="5" width="18.6640625" style="18" customWidth="1"/>
    <col min="6" max="6" width="14" style="191" bestFit="1" customWidth="1"/>
    <col min="7" max="7" width="12.5546875" bestFit="1" customWidth="1"/>
  </cols>
  <sheetData>
    <row r="1" spans="1:6" x14ac:dyDescent="0.3">
      <c r="A1" s="19" t="s">
        <v>44</v>
      </c>
      <c r="B1" s="21" t="str">
        <f>Info!C2</f>
        <v>სს სილქ ბანკი</v>
      </c>
    </row>
    <row r="2" spans="1:6" s="19" customFormat="1" ht="15.75" customHeight="1" x14ac:dyDescent="0.3">
      <c r="A2" s="19" t="s">
        <v>45</v>
      </c>
      <c r="B2" s="22">
        <f>'1. key ratios'!B2</f>
        <v>46112</v>
      </c>
      <c r="F2" s="192"/>
    </row>
    <row r="3" spans="1:6" s="19" customFormat="1" ht="15.75" customHeight="1" x14ac:dyDescent="0.3">
      <c r="F3" s="192"/>
    </row>
    <row r="4" spans="1:6" s="19" customFormat="1" ht="15.75" customHeight="1" thickBot="1" x14ac:dyDescent="0.35">
      <c r="A4" s="193" t="s">
        <v>285</v>
      </c>
      <c r="B4" s="194" t="s">
        <v>18</v>
      </c>
      <c r="C4" s="195"/>
      <c r="D4" s="195"/>
      <c r="E4" s="196" t="s">
        <v>239</v>
      </c>
      <c r="F4" s="192"/>
    </row>
    <row r="5" spans="1:6" s="202" customFormat="1" ht="17.7" customHeight="1" x14ac:dyDescent="0.3">
      <c r="A5" s="197"/>
      <c r="B5" s="198"/>
      <c r="C5" s="199" t="s">
        <v>286</v>
      </c>
      <c r="D5" s="199" t="s">
        <v>287</v>
      </c>
      <c r="E5" s="200" t="s">
        <v>288</v>
      </c>
      <c r="F5" s="201"/>
    </row>
    <row r="6" spans="1:6" ht="14.7" customHeight="1" x14ac:dyDescent="0.3">
      <c r="A6" s="203"/>
      <c r="B6" s="819" t="s">
        <v>289</v>
      </c>
      <c r="C6" s="819" t="s">
        <v>290</v>
      </c>
      <c r="D6" s="820" t="s">
        <v>291</v>
      </c>
      <c r="E6" s="821"/>
    </row>
    <row r="7" spans="1:6" ht="99.6" customHeight="1" x14ac:dyDescent="0.3">
      <c r="A7" s="203"/>
      <c r="B7" s="819"/>
      <c r="C7" s="819"/>
      <c r="D7" s="205" t="s">
        <v>292</v>
      </c>
      <c r="E7" s="206" t="s">
        <v>293</v>
      </c>
    </row>
    <row r="8" spans="1:6" ht="22.5" customHeight="1" x14ac:dyDescent="0.3">
      <c r="A8" s="89">
        <v>1</v>
      </c>
      <c r="B8" s="93" t="s">
        <v>98</v>
      </c>
      <c r="C8" s="207">
        <f>SUM(C9:C11)</f>
        <v>40077812.810000017</v>
      </c>
      <c r="D8" s="207">
        <f>SUM(D9:D11)</f>
        <v>0</v>
      </c>
      <c r="E8" s="207">
        <f>SUM(E9:E11)</f>
        <v>40077812.810000017</v>
      </c>
      <c r="F8" s="208">
        <f>E8-'2. SOFP'!E7</f>
        <v>0</v>
      </c>
    </row>
    <row r="9" spans="1:6" x14ac:dyDescent="0.3">
      <c r="A9" s="89">
        <v>1.1000000000000001</v>
      </c>
      <c r="B9" s="94" t="s">
        <v>99</v>
      </c>
      <c r="C9" s="207">
        <f>'2. SOFP'!E8</f>
        <v>3043698.5599999996</v>
      </c>
      <c r="D9" s="207"/>
      <c r="E9" s="207">
        <f t="shared" ref="E9:E15" si="0">C9-D9</f>
        <v>3043698.5599999996</v>
      </c>
    </row>
    <row r="10" spans="1:6" x14ac:dyDescent="0.3">
      <c r="A10" s="89">
        <v>1.2</v>
      </c>
      <c r="B10" s="94" t="s">
        <v>100</v>
      </c>
      <c r="C10" s="207">
        <f>'2. SOFP'!E9</f>
        <v>3077954.3800000106</v>
      </c>
      <c r="D10" s="207"/>
      <c r="E10" s="207">
        <f t="shared" si="0"/>
        <v>3077954.3800000106</v>
      </c>
    </row>
    <row r="11" spans="1:6" x14ac:dyDescent="0.3">
      <c r="A11" s="89">
        <v>1.3</v>
      </c>
      <c r="B11" s="94" t="s">
        <v>101</v>
      </c>
      <c r="C11" s="207">
        <f>'2. SOFP'!E10</f>
        <v>33956159.870000005</v>
      </c>
      <c r="D11" s="207"/>
      <c r="E11" s="207">
        <f t="shared" si="0"/>
        <v>33956159.870000005</v>
      </c>
    </row>
    <row r="12" spans="1:6" x14ac:dyDescent="0.3">
      <c r="A12" s="89">
        <v>2</v>
      </c>
      <c r="B12" s="97" t="s">
        <v>102</v>
      </c>
      <c r="C12" s="207">
        <f>'2. SOFP'!E11</f>
        <v>318758</v>
      </c>
      <c r="D12" s="207"/>
      <c r="E12" s="207">
        <f t="shared" si="0"/>
        <v>318758</v>
      </c>
      <c r="F12" s="208">
        <f>E12-'2. SOFP'!E11</f>
        <v>0</v>
      </c>
    </row>
    <row r="13" spans="1:6" x14ac:dyDescent="0.3">
      <c r="A13" s="89">
        <v>2.1</v>
      </c>
      <c r="B13" s="98" t="s">
        <v>103</v>
      </c>
      <c r="C13" s="207">
        <f>'2. SOFP'!E12</f>
        <v>318758</v>
      </c>
      <c r="D13" s="207"/>
      <c r="E13" s="207">
        <f t="shared" si="0"/>
        <v>318758</v>
      </c>
    </row>
    <row r="14" spans="1:6" ht="34.200000000000003" customHeight="1" x14ac:dyDescent="0.3">
      <c r="A14" s="89">
        <v>3</v>
      </c>
      <c r="B14" s="99" t="s">
        <v>104</v>
      </c>
      <c r="C14" s="207">
        <f>'2. SOFP'!E13</f>
        <v>0</v>
      </c>
      <c r="D14" s="207"/>
      <c r="E14" s="207">
        <f t="shared" si="0"/>
        <v>0</v>
      </c>
    </row>
    <row r="15" spans="1:6" ht="32.700000000000003" customHeight="1" x14ac:dyDescent="0.3">
      <c r="A15" s="89">
        <v>4</v>
      </c>
      <c r="B15" s="100" t="s">
        <v>105</v>
      </c>
      <c r="C15" s="207">
        <f>'2. SOFP'!E14</f>
        <v>0</v>
      </c>
      <c r="D15" s="207"/>
      <c r="E15" s="207">
        <f t="shared" si="0"/>
        <v>0</v>
      </c>
    </row>
    <row r="16" spans="1:6" ht="22.95" customHeight="1" x14ac:dyDescent="0.3">
      <c r="A16" s="89">
        <v>5</v>
      </c>
      <c r="B16" s="100" t="s">
        <v>106</v>
      </c>
      <c r="C16" s="207">
        <f>SUM(C17:C19)</f>
        <v>20000</v>
      </c>
      <c r="D16" s="207">
        <f>SUM(D17:D19)</f>
        <v>0</v>
      </c>
      <c r="E16" s="207">
        <f>SUM(E17:E19)</f>
        <v>20000</v>
      </c>
      <c r="F16" s="208">
        <f>E16-'2. SOFP'!E15</f>
        <v>0</v>
      </c>
    </row>
    <row r="17" spans="1:6" x14ac:dyDescent="0.3">
      <c r="A17" s="89">
        <v>5.0999999999999996</v>
      </c>
      <c r="B17" s="101" t="s">
        <v>107</v>
      </c>
      <c r="C17" s="207">
        <f>'2. SOFP'!E16</f>
        <v>20000</v>
      </c>
      <c r="D17" s="207"/>
      <c r="E17" s="207">
        <f>C17-D17</f>
        <v>20000</v>
      </c>
    </row>
    <row r="18" spans="1:6" x14ac:dyDescent="0.3">
      <c r="A18" s="89">
        <v>5.2</v>
      </c>
      <c r="B18" s="101" t="s">
        <v>108</v>
      </c>
      <c r="C18" s="207">
        <f>'2. SOFP'!E17</f>
        <v>0</v>
      </c>
      <c r="D18" s="207"/>
      <c r="E18" s="207">
        <f>C18-D18</f>
        <v>0</v>
      </c>
    </row>
    <row r="19" spans="1:6" x14ac:dyDescent="0.3">
      <c r="A19" s="89">
        <v>5.3</v>
      </c>
      <c r="B19" s="101" t="s">
        <v>109</v>
      </c>
      <c r="C19" s="207">
        <f>'2. SOFP'!E18</f>
        <v>0</v>
      </c>
      <c r="D19" s="207"/>
      <c r="E19" s="207">
        <f>C19-D19</f>
        <v>0</v>
      </c>
    </row>
    <row r="20" spans="1:6" ht="20.399999999999999" x14ac:dyDescent="0.3">
      <c r="A20" s="89">
        <v>6</v>
      </c>
      <c r="B20" s="99" t="s">
        <v>110</v>
      </c>
      <c r="C20" s="207">
        <f>SUM(C21:C22)</f>
        <v>150543500.61977917</v>
      </c>
      <c r="D20" s="207">
        <f>SUM(D21:D22)</f>
        <v>0</v>
      </c>
      <c r="E20" s="207">
        <f>SUM(E21:E22)</f>
        <v>150543500.61977917</v>
      </c>
      <c r="F20" s="208">
        <f>E20-'2. SOFP'!E19</f>
        <v>0</v>
      </c>
    </row>
    <row r="21" spans="1:6" x14ac:dyDescent="0.3">
      <c r="A21" s="89">
        <v>6.1</v>
      </c>
      <c r="B21" s="101" t="s">
        <v>108</v>
      </c>
      <c r="C21" s="209">
        <f>'2. SOFP'!E20</f>
        <v>16988852.280861448</v>
      </c>
      <c r="D21" s="209"/>
      <c r="E21" s="209">
        <f>C21-D21</f>
        <v>16988852.280861448</v>
      </c>
    </row>
    <row r="22" spans="1:6" x14ac:dyDescent="0.3">
      <c r="A22" s="89">
        <v>6.2</v>
      </c>
      <c r="B22" s="101" t="s">
        <v>109</v>
      </c>
      <c r="C22" s="209">
        <f>'2. SOFP'!E21</f>
        <v>133554648.33891773</v>
      </c>
      <c r="D22" s="209"/>
      <c r="E22" s="209">
        <f>C22-D22</f>
        <v>133554648.33891773</v>
      </c>
    </row>
    <row r="23" spans="1:6" ht="20.399999999999999" x14ac:dyDescent="0.3">
      <c r="A23" s="89">
        <v>7</v>
      </c>
      <c r="B23" s="102" t="s">
        <v>111</v>
      </c>
      <c r="C23" s="209">
        <f>'2. SOFP'!E22</f>
        <v>0</v>
      </c>
      <c r="D23" s="209"/>
      <c r="E23" s="209">
        <f>C23-D23</f>
        <v>0</v>
      </c>
    </row>
    <row r="24" spans="1:6" ht="20.399999999999999" x14ac:dyDescent="0.3">
      <c r="A24" s="89">
        <v>8</v>
      </c>
      <c r="B24" s="103" t="s">
        <v>112</v>
      </c>
      <c r="C24" s="209">
        <f>'2. SOFP'!E23</f>
        <v>3353967.77110318</v>
      </c>
      <c r="D24" s="209"/>
      <c r="E24" s="209">
        <f>C24-D24</f>
        <v>3353967.77110318</v>
      </c>
      <c r="F24" s="208">
        <f>E24-'2. SOFP'!E23</f>
        <v>0</v>
      </c>
    </row>
    <row r="25" spans="1:6" x14ac:dyDescent="0.3">
      <c r="A25" s="89">
        <v>9</v>
      </c>
      <c r="B25" s="100" t="s">
        <v>113</v>
      </c>
      <c r="C25" s="209">
        <f>SUM(C26:C27)</f>
        <v>17379909.298788853</v>
      </c>
      <c r="D25" s="209">
        <f>SUM(D26:D27)</f>
        <v>0</v>
      </c>
      <c r="E25" s="209">
        <f>SUM(E26:E27)</f>
        <v>17379909.298788853</v>
      </c>
      <c r="F25" s="208">
        <f>E25-'2. SOFP'!E24</f>
        <v>0</v>
      </c>
    </row>
    <row r="26" spans="1:6" x14ac:dyDescent="0.3">
      <c r="A26" s="89">
        <v>9.1</v>
      </c>
      <c r="B26" s="104" t="s">
        <v>114</v>
      </c>
      <c r="C26" s="209">
        <f>'2. SOFP'!E25</f>
        <v>17379909.298788853</v>
      </c>
      <c r="D26" s="209"/>
      <c r="E26" s="209">
        <f>C26-D26</f>
        <v>17379909.298788853</v>
      </c>
    </row>
    <row r="27" spans="1:6" x14ac:dyDescent="0.3">
      <c r="A27" s="89">
        <v>9.1999999999999993</v>
      </c>
      <c r="B27" s="104" t="s">
        <v>115</v>
      </c>
      <c r="C27" s="209">
        <f>'2. SOFP'!E26</f>
        <v>0</v>
      </c>
      <c r="D27" s="209"/>
      <c r="E27" s="209">
        <f>C27-D27</f>
        <v>0</v>
      </c>
    </row>
    <row r="28" spans="1:6" x14ac:dyDescent="0.3">
      <c r="A28" s="89">
        <v>10</v>
      </c>
      <c r="B28" s="100" t="s">
        <v>116</v>
      </c>
      <c r="C28" s="209">
        <f>SUM(C29:C30)</f>
        <v>12738280.079999996</v>
      </c>
      <c r="D28" s="209">
        <f>SUM(D29:D30)</f>
        <v>12738280.079999996</v>
      </c>
      <c r="E28" s="209">
        <f>SUM(E29:E30)</f>
        <v>0</v>
      </c>
      <c r="F28" s="208">
        <f>C28-'2. SOFP'!E27</f>
        <v>0</v>
      </c>
    </row>
    <row r="29" spans="1:6" x14ac:dyDescent="0.3">
      <c r="A29" s="89">
        <v>10.1</v>
      </c>
      <c r="B29" s="104" t="s">
        <v>117</v>
      </c>
      <c r="C29" s="209">
        <f>'2. SOFP'!E28</f>
        <v>0</v>
      </c>
      <c r="D29" s="209"/>
      <c r="E29" s="209">
        <f>C29-D29</f>
        <v>0</v>
      </c>
    </row>
    <row r="30" spans="1:6" x14ac:dyDescent="0.3">
      <c r="A30" s="89">
        <v>10.199999999999999</v>
      </c>
      <c r="B30" s="104" t="s">
        <v>118</v>
      </c>
      <c r="C30" s="209">
        <f>'2. SOFP'!E29</f>
        <v>12738280.079999996</v>
      </c>
      <c r="D30" s="209">
        <f>C30</f>
        <v>12738280.079999996</v>
      </c>
      <c r="E30" s="209">
        <f>C30-D30</f>
        <v>0</v>
      </c>
    </row>
    <row r="31" spans="1:6" x14ac:dyDescent="0.3">
      <c r="A31" s="89">
        <v>11</v>
      </c>
      <c r="B31" s="100" t="s">
        <v>119</v>
      </c>
      <c r="C31" s="209">
        <f>SUM(C32:C33)</f>
        <v>2911052.4940089369</v>
      </c>
      <c r="D31" s="209">
        <f>SUM(D32:D33)</f>
        <v>2865803.9940089369</v>
      </c>
      <c r="E31" s="209">
        <f>SUM(E32:E33)</f>
        <v>45248.5</v>
      </c>
      <c r="F31" s="208">
        <f>C31-'2. SOFP'!E30</f>
        <v>0</v>
      </c>
    </row>
    <row r="32" spans="1:6" x14ac:dyDescent="0.3">
      <c r="A32" s="89">
        <v>11.1</v>
      </c>
      <c r="B32" s="104" t="s">
        <v>120</v>
      </c>
      <c r="C32" s="209">
        <f>'2. SOFP'!E31</f>
        <v>45248.5</v>
      </c>
      <c r="D32" s="209"/>
      <c r="E32" s="209">
        <f>C32-D32</f>
        <v>45248.5</v>
      </c>
    </row>
    <row r="33" spans="1:7" x14ac:dyDescent="0.3">
      <c r="A33" s="89">
        <v>11.2</v>
      </c>
      <c r="B33" s="104" t="s">
        <v>121</v>
      </c>
      <c r="C33" s="209">
        <f>'2. SOFP'!E32</f>
        <v>2865803.9940089369</v>
      </c>
      <c r="D33" s="209">
        <f>C33</f>
        <v>2865803.9940089369</v>
      </c>
      <c r="E33" s="209">
        <f>C33-D33</f>
        <v>0</v>
      </c>
    </row>
    <row r="34" spans="1:7" x14ac:dyDescent="0.3">
      <c r="A34" s="89">
        <v>13</v>
      </c>
      <c r="B34" s="100" t="s">
        <v>122</v>
      </c>
      <c r="C34" s="209">
        <f>'2. SOFP'!E33-1.39</f>
        <v>16027999.227750009</v>
      </c>
      <c r="D34" s="209">
        <v>13500000</v>
      </c>
      <c r="E34" s="209">
        <f>C34-D34</f>
        <v>2527999.2277500089</v>
      </c>
      <c r="F34" s="208"/>
    </row>
    <row r="35" spans="1:7" x14ac:dyDescent="0.3">
      <c r="A35" s="89">
        <v>13.1</v>
      </c>
      <c r="B35" s="105" t="s">
        <v>123</v>
      </c>
      <c r="C35" s="209">
        <f>'2. SOFP'!E34</f>
        <v>0</v>
      </c>
      <c r="D35" s="209"/>
      <c r="E35" s="209">
        <f>C35-D35</f>
        <v>0</v>
      </c>
    </row>
    <row r="36" spans="1:7" x14ac:dyDescent="0.3">
      <c r="A36" s="89">
        <v>13.2</v>
      </c>
      <c r="B36" s="105" t="s">
        <v>124</v>
      </c>
      <c r="C36" s="209">
        <f>'2. SOFP'!E35</f>
        <v>0</v>
      </c>
      <c r="D36" s="209"/>
      <c r="E36" s="209">
        <f>C36-D36</f>
        <v>0</v>
      </c>
    </row>
    <row r="37" spans="1:7" ht="42" thickBot="1" x14ac:dyDescent="0.35">
      <c r="A37" s="210"/>
      <c r="B37" s="211" t="s">
        <v>294</v>
      </c>
      <c r="C37" s="212">
        <f>SUM(C8,C12,C14,C15,C16,C20,C23,C24,C25,C28,C31,C34)</f>
        <v>243371280.30143011</v>
      </c>
      <c r="D37" s="212">
        <f t="shared" ref="D37:E37" si="1">SUM(D8,D12,D14,D15,D16,D20,D23,D24,D25,D28,D31,D34)</f>
        <v>29104084.074008934</v>
      </c>
      <c r="E37" s="212">
        <f t="shared" si="1"/>
        <v>214267196.22742119</v>
      </c>
    </row>
    <row r="38" spans="1:7" x14ac:dyDescent="0.3">
      <c r="A38"/>
      <c r="B38"/>
      <c r="C38"/>
      <c r="D38"/>
      <c r="E38"/>
    </row>
    <row r="39" spans="1:7" s="191" customFormat="1" x14ac:dyDescent="0.3">
      <c r="C39" s="751"/>
      <c r="D39" s="751"/>
      <c r="E39" s="751"/>
    </row>
    <row r="40" spans="1:7" x14ac:dyDescent="0.3">
      <c r="E40" s="753"/>
    </row>
    <row r="41" spans="1:7" s="18" customFormat="1" x14ac:dyDescent="0.3">
      <c r="B41" s="213"/>
      <c r="F41" s="191"/>
      <c r="G41"/>
    </row>
    <row r="42" spans="1:7" s="18" customFormat="1" x14ac:dyDescent="0.3">
      <c r="B42" s="214"/>
      <c r="F42" s="191"/>
      <c r="G42"/>
    </row>
    <row r="43" spans="1:7" s="18" customFormat="1" x14ac:dyDescent="0.3">
      <c r="B43" s="213"/>
      <c r="F43" s="191"/>
      <c r="G43"/>
    </row>
    <row r="44" spans="1:7" s="18" customFormat="1" x14ac:dyDescent="0.3">
      <c r="B44" s="213"/>
      <c r="F44" s="191"/>
      <c r="G44"/>
    </row>
    <row r="45" spans="1:7" s="18" customFormat="1" x14ac:dyDescent="0.3">
      <c r="B45" s="213"/>
      <c r="F45" s="191"/>
      <c r="G45"/>
    </row>
    <row r="46" spans="1:7" s="18" customFormat="1" x14ac:dyDescent="0.3">
      <c r="B46" s="213"/>
      <c r="F46" s="191"/>
      <c r="G46"/>
    </row>
    <row r="47" spans="1:7" s="18" customFormat="1" x14ac:dyDescent="0.3">
      <c r="B47" s="213"/>
      <c r="F47" s="191"/>
      <c r="G47"/>
    </row>
    <row r="48" spans="1:7" s="18" customFormat="1" x14ac:dyDescent="0.3">
      <c r="B48" s="214"/>
      <c r="F48" s="191"/>
      <c r="G48"/>
    </row>
    <row r="49" spans="2:7" s="18" customFormat="1" x14ac:dyDescent="0.3">
      <c r="B49" s="214"/>
      <c r="F49" s="191"/>
      <c r="G49"/>
    </row>
    <row r="50" spans="2:7" s="18" customFormat="1" x14ac:dyDescent="0.3">
      <c r="B50" s="214"/>
      <c r="F50" s="191"/>
      <c r="G50"/>
    </row>
    <row r="51" spans="2:7" s="18" customFormat="1" x14ac:dyDescent="0.3">
      <c r="B51" s="214"/>
      <c r="F51" s="191"/>
      <c r="G51"/>
    </row>
    <row r="52" spans="2:7" s="18" customFormat="1" x14ac:dyDescent="0.3">
      <c r="B52" s="214"/>
      <c r="F52" s="191"/>
      <c r="G52"/>
    </row>
    <row r="53" spans="2:7" s="18" customFormat="1" x14ac:dyDescent="0.3">
      <c r="B53" s="214"/>
      <c r="F53" s="191"/>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2A040-CBD4-4B1A-A4FA-3003E34BFF43}">
  <dimension ref="A1:G33"/>
  <sheetViews>
    <sheetView zoomScaleNormal="100" workbookViewId="0">
      <pane xSplit="1" ySplit="4" topLeftCell="B5" activePane="bottomRight" state="frozen"/>
      <selection activeCell="B15" sqref="B15:C15"/>
      <selection pane="topRight" activeCell="B15" sqref="B15:C15"/>
      <selection pane="bottomLeft" activeCell="B15" sqref="B15:C15"/>
      <selection pane="bottomRight" activeCell="C9" sqref="C9:C12"/>
    </sheetView>
  </sheetViews>
  <sheetFormatPr defaultRowHeight="14.4" outlineLevelRow="1" x14ac:dyDescent="0.3"/>
  <cols>
    <col min="1" max="1" width="9.5546875" style="18" bestFit="1" customWidth="1"/>
    <col min="2" max="2" width="114.33203125" style="18" customWidth="1"/>
    <col min="3" max="3" width="18.6640625" customWidth="1"/>
    <col min="4" max="4" width="24" customWidth="1"/>
    <col min="5" max="5" width="10" bestFit="1" customWidth="1"/>
    <col min="6" max="6" width="12" bestFit="1" customWidth="1"/>
    <col min="7" max="7" width="12.5546875" bestFit="1" customWidth="1"/>
  </cols>
  <sheetData>
    <row r="1" spans="1:4" x14ac:dyDescent="0.3">
      <c r="A1" s="19" t="s">
        <v>44</v>
      </c>
      <c r="B1" s="21" t="str">
        <f>Info!C2</f>
        <v>სს სილქ ბანკი</v>
      </c>
    </row>
    <row r="2" spans="1:4" s="19" customFormat="1" ht="15.75" customHeight="1" x14ac:dyDescent="0.3">
      <c r="A2" s="19" t="s">
        <v>45</v>
      </c>
      <c r="B2" s="22">
        <f>'1. key ratios'!B2</f>
        <v>46112</v>
      </c>
      <c r="C2"/>
      <c r="D2"/>
    </row>
    <row r="3" spans="1:4" s="19" customFormat="1" ht="15.75" customHeight="1" x14ac:dyDescent="0.3">
      <c r="C3"/>
      <c r="D3"/>
    </row>
    <row r="4" spans="1:4" s="19" customFormat="1" ht="28.2" thickBot="1" x14ac:dyDescent="0.35">
      <c r="A4" s="19" t="s">
        <v>295</v>
      </c>
      <c r="B4" s="216" t="s">
        <v>19</v>
      </c>
      <c r="C4" s="196" t="s">
        <v>239</v>
      </c>
      <c r="D4"/>
    </row>
    <row r="5" spans="1:4" x14ac:dyDescent="0.3">
      <c r="A5" s="217">
        <v>1</v>
      </c>
      <c r="B5" s="218" t="s">
        <v>296</v>
      </c>
      <c r="C5" s="219">
        <f>'7. LI1'!E37</f>
        <v>214267196.22742119</v>
      </c>
    </row>
    <row r="6" spans="1:4" x14ac:dyDescent="0.3">
      <c r="A6" s="220">
        <v>2.1</v>
      </c>
      <c r="B6" s="221" t="s">
        <v>297</v>
      </c>
      <c r="C6" s="222">
        <v>33493943.372296792</v>
      </c>
    </row>
    <row r="7" spans="1:4" s="226" customFormat="1" ht="27.6" outlineLevel="1" x14ac:dyDescent="0.3">
      <c r="A7" s="223">
        <v>2.2000000000000002</v>
      </c>
      <c r="B7" s="224" t="s">
        <v>298</v>
      </c>
      <c r="C7" s="225">
        <v>6749500</v>
      </c>
    </row>
    <row r="8" spans="1:4" s="226" customFormat="1" ht="27.6" x14ac:dyDescent="0.3">
      <c r="A8" s="223">
        <v>3</v>
      </c>
      <c r="B8" s="227" t="s">
        <v>299</v>
      </c>
      <c r="C8" s="228">
        <f>SUM(C5:C7)</f>
        <v>254510639.59971797</v>
      </c>
    </row>
    <row r="9" spans="1:4" x14ac:dyDescent="0.3">
      <c r="A9" s="220">
        <v>4</v>
      </c>
      <c r="B9" s="229" t="s">
        <v>300</v>
      </c>
      <c r="C9" s="230">
        <v>0</v>
      </c>
    </row>
    <row r="10" spans="1:4" s="226" customFormat="1" ht="27.6" outlineLevel="1" x14ac:dyDescent="0.3">
      <c r="A10" s="223">
        <v>5.0999999999999996</v>
      </c>
      <c r="B10" s="224" t="s">
        <v>301</v>
      </c>
      <c r="C10" s="225">
        <v>-33247452.372296792</v>
      </c>
    </row>
    <row r="11" spans="1:4" s="226" customFormat="1" ht="27.6" outlineLevel="1" x14ac:dyDescent="0.3">
      <c r="A11" s="223">
        <v>5.2</v>
      </c>
      <c r="B11" s="224" t="s">
        <v>302</v>
      </c>
      <c r="C11" s="225">
        <v>-6478907.7247207109</v>
      </c>
    </row>
    <row r="12" spans="1:4" s="226" customFormat="1" x14ac:dyDescent="0.3">
      <c r="A12" s="223">
        <v>6</v>
      </c>
      <c r="B12" s="232" t="s">
        <v>303</v>
      </c>
      <c r="C12" s="225"/>
    </row>
    <row r="13" spans="1:4" s="226" customFormat="1" ht="15" thickBot="1" x14ac:dyDescent="0.35">
      <c r="A13" s="233">
        <v>7</v>
      </c>
      <c r="B13" s="234" t="s">
        <v>304</v>
      </c>
      <c r="C13" s="235">
        <f>SUM(C8:C12)</f>
        <v>214784279.50270048</v>
      </c>
    </row>
    <row r="15" spans="1:4" x14ac:dyDescent="0.3">
      <c r="B15" s="87"/>
    </row>
    <row r="17" spans="2:7" s="18" customFormat="1" x14ac:dyDescent="0.3">
      <c r="B17" s="236"/>
      <c r="C17"/>
      <c r="D17"/>
      <c r="E17"/>
      <c r="F17"/>
      <c r="G17"/>
    </row>
    <row r="18" spans="2:7" s="18" customFormat="1" x14ac:dyDescent="0.3">
      <c r="B18" s="237"/>
      <c r="C18"/>
      <c r="D18"/>
      <c r="E18"/>
      <c r="F18"/>
      <c r="G18"/>
    </row>
    <row r="19" spans="2:7" s="18" customFormat="1" x14ac:dyDescent="0.3">
      <c r="B19" s="237"/>
      <c r="C19"/>
      <c r="D19"/>
      <c r="E19"/>
      <c r="F19"/>
      <c r="G19"/>
    </row>
    <row r="20" spans="2:7" s="18" customFormat="1" x14ac:dyDescent="0.3">
      <c r="B20" s="214"/>
      <c r="C20"/>
      <c r="D20"/>
      <c r="E20"/>
      <c r="F20"/>
      <c r="G20"/>
    </row>
    <row r="21" spans="2:7" s="18" customFormat="1" x14ac:dyDescent="0.3">
      <c r="B21" s="213"/>
      <c r="C21"/>
      <c r="D21"/>
      <c r="E21"/>
      <c r="F21"/>
      <c r="G21"/>
    </row>
    <row r="22" spans="2:7" s="18" customFormat="1" x14ac:dyDescent="0.3">
      <c r="B22" s="214"/>
      <c r="C22"/>
      <c r="D22"/>
      <c r="E22"/>
      <c r="F22"/>
      <c r="G22"/>
    </row>
    <row r="23" spans="2:7" s="18" customFormat="1" x14ac:dyDescent="0.3">
      <c r="B23" s="213"/>
      <c r="C23"/>
      <c r="D23"/>
      <c r="E23"/>
      <c r="F23"/>
      <c r="G23"/>
    </row>
    <row r="24" spans="2:7" s="18" customFormat="1" x14ac:dyDescent="0.3">
      <c r="B24" s="213"/>
      <c r="C24"/>
      <c r="D24"/>
      <c r="E24"/>
      <c r="F24"/>
      <c r="G24"/>
    </row>
    <row r="25" spans="2:7" s="18" customFormat="1" x14ac:dyDescent="0.3">
      <c r="B25" s="213"/>
      <c r="C25"/>
      <c r="D25"/>
      <c r="E25"/>
      <c r="F25"/>
      <c r="G25"/>
    </row>
    <row r="26" spans="2:7" s="18" customFormat="1" x14ac:dyDescent="0.3">
      <c r="B26" s="213"/>
      <c r="C26"/>
      <c r="D26"/>
      <c r="E26"/>
      <c r="F26"/>
      <c r="G26"/>
    </row>
    <row r="27" spans="2:7" s="18" customFormat="1" x14ac:dyDescent="0.3">
      <c r="B27" s="213"/>
      <c r="C27"/>
      <c r="D27"/>
      <c r="E27"/>
      <c r="F27"/>
      <c r="G27"/>
    </row>
    <row r="28" spans="2:7" s="18" customFormat="1" x14ac:dyDescent="0.3">
      <c r="B28" s="214"/>
      <c r="C28"/>
      <c r="D28"/>
      <c r="E28"/>
      <c r="F28"/>
      <c r="G28"/>
    </row>
    <row r="29" spans="2:7" s="18" customFormat="1" x14ac:dyDescent="0.3">
      <c r="B29" s="214"/>
      <c r="C29"/>
      <c r="D29"/>
      <c r="E29"/>
      <c r="F29"/>
      <c r="G29"/>
    </row>
    <row r="30" spans="2:7" s="18" customFormat="1" x14ac:dyDescent="0.3">
      <c r="B30" s="214"/>
      <c r="C30"/>
      <c r="D30"/>
      <c r="E30"/>
      <c r="F30"/>
      <c r="G30"/>
    </row>
    <row r="31" spans="2:7" s="18" customFormat="1" x14ac:dyDescent="0.3">
      <c r="B31" s="214"/>
      <c r="C31"/>
      <c r="D31"/>
      <c r="E31"/>
      <c r="F31"/>
      <c r="G31"/>
    </row>
    <row r="32" spans="2:7" s="18" customFormat="1" x14ac:dyDescent="0.3">
      <c r="B32" s="214"/>
      <c r="C32"/>
      <c r="D32"/>
      <c r="E32"/>
      <c r="F32"/>
      <c r="G32"/>
    </row>
    <row r="33" spans="2:7" s="18" customFormat="1" x14ac:dyDescent="0.3">
      <c r="B33" s="214"/>
      <c r="C33"/>
      <c r="D33"/>
      <c r="E33"/>
      <c r="F33"/>
      <c r="G33"/>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Potskhverashvili</dc:creator>
  <cp:lastModifiedBy>Irma Potskhverashvili</cp:lastModifiedBy>
  <dcterms:created xsi:type="dcterms:W3CDTF">2026-04-30T07:41:34Z</dcterms:created>
  <dcterms:modified xsi:type="dcterms:W3CDTF">2026-04-30T16:56:55Z</dcterms:modified>
</cp:coreProperties>
</file>