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i.potskhverashvili\Desktop\F\Pillar 3\1q. 2025\"/>
    </mc:Choice>
  </mc:AlternateContent>
  <xr:revisionPtr revIDLastSave="0" documentId="13_ncr:1_{24AFFFE1-DC2D-4145-B367-EF14569FC86E}" xr6:coauthVersionLast="47" xr6:coauthVersionMax="47" xr10:uidLastSave="{00000000-0000-0000-0000-000000000000}"/>
  <bookViews>
    <workbookView xWindow="-108" yWindow="-108" windowWidth="23256" windowHeight="12576" tabRatio="829" activeTab="1" xr2:uid="{DD28A1EC-0DBA-436F-A831-22E66BC85114}"/>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9.2. MREL1" sheetId="12" r:id="rId12"/>
    <sheet name="9.3. MREL2" sheetId="13" r:id="rId13"/>
    <sheet name="10. CC2" sheetId="14" r:id="rId14"/>
    <sheet name="11. CRWA" sheetId="15" r:id="rId15"/>
    <sheet name="12. CRM" sheetId="16" r:id="rId16"/>
    <sheet name="13. CRME" sheetId="17" r:id="rId17"/>
    <sheet name="14. LCR" sheetId="18" r:id="rId18"/>
    <sheet name="15. CCR" sheetId="19" r:id="rId19"/>
    <sheet name="15.1. LR" sheetId="20" r:id="rId20"/>
    <sheet name="15.2. CVA" sheetId="21" r:id="rId21"/>
    <sheet name="16. NSFR" sheetId="22" r:id="rId22"/>
    <sheet name=" 17. Residual Maturity" sheetId="23" r:id="rId23"/>
    <sheet name="18. Assets by Exposure classes" sheetId="24" r:id="rId24"/>
    <sheet name="19. Assets by Risk Sectors" sheetId="25" r:id="rId25"/>
    <sheet name="20. Reserves" sheetId="26" r:id="rId26"/>
    <sheet name="21. NPL" sheetId="27" r:id="rId27"/>
    <sheet name="22. Quality" sheetId="28" r:id="rId28"/>
    <sheet name="23. LTV" sheetId="29" r:id="rId29"/>
    <sheet name="24. Risk Sector" sheetId="30" r:id="rId30"/>
    <sheet name="25. Collateral" sheetId="31" r:id="rId31"/>
    <sheet name="26. Retail Products" sheetId="32" r:id="rId32"/>
    <sheet name="Instruction" sheetId="33" r:id="rId33"/>
  </sheets>
  <externalReferences>
    <externalReference r:id="rId34"/>
    <externalReference r:id="rId35"/>
    <externalReference r:id="rId36"/>
  </externalReferences>
  <definedNames>
    <definedName name="_cur1" localSheetId="18">'[1]Appl (2)'!$F$2:$F$7200</definedName>
    <definedName name="_cur1" localSheetId="20">'[1]Appl (2)'!$F$2:$F$7200</definedName>
    <definedName name="_cur1" localSheetId="11">'[1]Appl (2)'!$F$2:$F$7200</definedName>
    <definedName name="_cur1" localSheetId="12">'[1]Appl (2)'!$F$2:$F$7200</definedName>
    <definedName name="_cur1" localSheetId="32">'[1]Appl (2)'!$F$2:$F$7200</definedName>
    <definedName name="_cur1">#REF!</definedName>
    <definedName name="_cur2" localSheetId="18">'[1]Appl (2)'!$H$2:$H$7200</definedName>
    <definedName name="_cur2" localSheetId="20">'[1]Appl (2)'!$H$2:$H$7200</definedName>
    <definedName name="_cur2" localSheetId="11">'[1]Appl (2)'!$H$2:$H$7200</definedName>
    <definedName name="_cur2" localSheetId="12">'[1]Appl (2)'!$H$2:$H$7200</definedName>
    <definedName name="_cur2" localSheetId="32">'[1]Appl (2)'!$H$2:$H$7200</definedName>
    <definedName name="_cur2">#REF!</definedName>
    <definedName name="_xlnm._FilterDatabase" localSheetId="9" hidden="1">'9. Capital'!$A$5:$F$53</definedName>
    <definedName name="_xlnm._FilterDatabase" localSheetId="32" hidden="1">Instruction!$A$108:$C$112</definedName>
    <definedName name="_Key1" hidden="1">#REF!</definedName>
    <definedName name="_Order1" hidden="1">255</definedName>
    <definedName name="_Order2" hidden="1">255</definedName>
    <definedName name="_Parse_In" hidden="1">#REF!</definedName>
    <definedName name="_Sort" hidden="1">#REF!</definedName>
    <definedName name="_sum1" localSheetId="18">'[1]Appl (2)'!$E$2:$E$7200</definedName>
    <definedName name="_sum1" localSheetId="20">'[1]Appl (2)'!$E$2:$E$7200</definedName>
    <definedName name="_sum1" localSheetId="11">'[1]Appl (2)'!$E$2:$E$7200</definedName>
    <definedName name="_sum1" localSheetId="12">'[1]Appl (2)'!$E$2:$E$7200</definedName>
    <definedName name="_sum1" localSheetId="32">'[1]Appl (2)'!$E$2:$E$7200</definedName>
    <definedName name="_sum1">#REF!</definedName>
    <definedName name="_sum2" localSheetId="18">'[1]Appl (2)'!$G$2:$G$7200</definedName>
    <definedName name="_sum2" localSheetId="20">'[1]Appl (2)'!$G$2:$G$7200</definedName>
    <definedName name="_sum2" localSheetId="11">'[1]Appl (2)'!$G$2:$G$7200</definedName>
    <definedName name="_sum2" localSheetId="12">'[1]Appl (2)'!$G$2:$G$7200</definedName>
    <definedName name="_sum2" localSheetId="32">'[1]Appl (2)'!$G$2:$G$7200</definedName>
    <definedName name="_sum2">#REF!</definedName>
    <definedName name="a" hidden="1">#REF!</definedName>
    <definedName name="aaaaaaaaa" hidden="1">#REF!</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 localSheetId="18">'[1]Appl (2)'!$B$2:$B$7200</definedName>
    <definedName name="date" localSheetId="20">'[1]Appl (2)'!$B$2:$B$7200</definedName>
    <definedName name="date" localSheetId="11">'[1]Appl (2)'!$B$2:$B$7200</definedName>
    <definedName name="date" localSheetId="12">'[1]Appl (2)'!$B$2:$B$7200</definedName>
    <definedName name="date" localSheetId="32">'[1]Appl (2)'!$B$2:$B$7200</definedName>
    <definedName name="date">#REF!</definedName>
    <definedName name="date1" localSheetId="18">'[1]Appl (2)'!$C$2:$C$7200</definedName>
    <definedName name="date1" localSheetId="20">'[1]Appl (2)'!$C$2:$C$7200</definedName>
    <definedName name="date1" localSheetId="11">'[1]Appl (2)'!$C$2:$C$7200</definedName>
    <definedName name="date1" localSheetId="12">'[1]Appl (2)'!$C$2:$C$7200</definedName>
    <definedName name="date1" localSheetId="32">'[1]Appl (2)'!$C$2:$C$7200</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 localSheetId="18">[2]ListSheet!$W$2:$W$15</definedName>
    <definedName name="L_FORMULAS_GEO" localSheetId="20">[2]ListSheet!$W$2:$W$15</definedName>
    <definedName name="L_FORMULAS_GEO" localSheetId="11">[2]ListSheet!$W$2:$W$15</definedName>
    <definedName name="L_FORMULAS_GEO" localSheetId="12">[2]ListSheet!$W$2:$W$15</definedName>
    <definedName name="L_FORMULAS_GEO" localSheetId="32">[2]ListSheet!$W$2:$W$15</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 localSheetId="18">[3]Sheet2!$H$5:$H$31</definedName>
    <definedName name="Sheet" localSheetId="20">[3]Sheet2!$H$5:$H$31</definedName>
    <definedName name="Sheet" localSheetId="11">[3]Sheet2!$H$5:$H$31</definedName>
    <definedName name="Sheet" localSheetId="12">[3]Sheet2!$H$5:$H$31</definedName>
    <definedName name="Sheet" localSheetId="32">[3]Sheet2!$H$5:$H$31</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WT">#REF!</definedName>
    <definedName name="YesNo">#REF!</definedName>
    <definedName name="z">#REF!</definedName>
    <definedName name="ა">#REF!</definedName>
    <definedName name="აა" hidden="1">#REF!</definedName>
    <definedName name="ს" hidden="1">#REF!</definedName>
    <definedName name="საკრედიტო" localSheetId="18">[3]Sheet2!$B$6:$B$8</definedName>
    <definedName name="საკრედიტო" localSheetId="20">[3]Sheet2!$B$6:$B$8</definedName>
    <definedName name="საკრედიტო" localSheetId="11">[3]Sheet2!$B$6:$B$8</definedName>
    <definedName name="საკრედიტო" localSheetId="12">[3]Sheet2!$B$6:$B$8</definedName>
    <definedName name="საკრედიტო" localSheetId="32">[3]Sheet2!$B$6:$B$8</definedName>
    <definedName name="საკრედიტო">#REF!</definedName>
    <definedName name="სსს" hidden="1">#REF!</definedName>
    <definedName name="ფაილი" localSheetId="18">[3]Sheet2!$B$2:$B$3</definedName>
    <definedName name="ფაილი" localSheetId="20">[3]Sheet2!$B$2:$B$3</definedName>
    <definedName name="ფაილი" localSheetId="11">[3]Sheet2!$B$2:$B$3</definedName>
    <definedName name="ფაილი" localSheetId="12">[3]Sheet2!$B$2:$B$3</definedName>
    <definedName name="ფაილი" localSheetId="32">[3]Sheet2!$B$2:$B$3</definedName>
    <definedName name="ფაილი">#REF!</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0">[3]Sheet2!$K$5:$K$9</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 localSheetId="32">[3]Sheet2!$K$5:$K$9</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F5" i="2"/>
  <c r="E5" i="2"/>
  <c r="D5" i="2"/>
  <c r="C5" i="2"/>
  <c r="B2" i="19" l="1"/>
  <c r="B1" i="19"/>
  <c r="C14" i="11"/>
  <c r="D14" i="11" l="1"/>
  <c r="N20" i="32" l="1"/>
  <c r="I20" i="32"/>
  <c r="N18" i="32"/>
  <c r="I18" i="32"/>
  <c r="D18" i="32"/>
  <c r="N17" i="32"/>
  <c r="I17" i="32"/>
  <c r="D17" i="32"/>
  <c r="N16" i="32"/>
  <c r="I16" i="32"/>
  <c r="D16" i="32"/>
  <c r="N15" i="32"/>
  <c r="I15" i="32"/>
  <c r="D15" i="32"/>
  <c r="N14" i="32"/>
  <c r="I14" i="32"/>
  <c r="D14" i="32"/>
  <c r="N13" i="32"/>
  <c r="I13" i="32"/>
  <c r="D13" i="32"/>
  <c r="N12" i="32"/>
  <c r="I12" i="32"/>
  <c r="D12" i="32"/>
  <c r="O19" i="32"/>
  <c r="J19" i="32"/>
  <c r="E19" i="32"/>
  <c r="N10" i="32"/>
  <c r="I10" i="32"/>
  <c r="D10" i="32"/>
  <c r="N9" i="32"/>
  <c r="I9" i="32"/>
  <c r="D9" i="32"/>
  <c r="N8" i="32"/>
  <c r="I8" i="32"/>
  <c r="D8" i="32"/>
  <c r="Q19" i="32"/>
  <c r="P19" i="32"/>
  <c r="N7" i="32"/>
  <c r="L19" i="32"/>
  <c r="K19" i="32"/>
  <c r="I7" i="32"/>
  <c r="G19" i="32"/>
  <c r="F19" i="32"/>
  <c r="D7" i="32"/>
  <c r="C2" i="32"/>
  <c r="C1" i="32"/>
  <c r="B2" i="31"/>
  <c r="B1" i="31"/>
  <c r="L33" i="30"/>
  <c r="K33" i="30"/>
  <c r="J33" i="30"/>
  <c r="I33" i="30"/>
  <c r="H33" i="30"/>
  <c r="F33" i="30"/>
  <c r="E33" i="30"/>
  <c r="D33" i="30"/>
  <c r="C33" i="30"/>
  <c r="B2" i="30"/>
  <c r="B1" i="30"/>
  <c r="C20" i="29"/>
  <c r="C19" i="29"/>
  <c r="C18" i="29"/>
  <c r="S16" i="29"/>
  <c r="O16" i="29"/>
  <c r="K16" i="29"/>
  <c r="G16" i="29"/>
  <c r="D16" i="29"/>
  <c r="C17" i="29"/>
  <c r="R16" i="29"/>
  <c r="Q16" i="29"/>
  <c r="P16" i="29"/>
  <c r="N16" i="29"/>
  <c r="M16" i="29"/>
  <c r="L16" i="29"/>
  <c r="J16" i="29"/>
  <c r="I16" i="29"/>
  <c r="H16" i="29"/>
  <c r="F16" i="29"/>
  <c r="E16" i="29"/>
  <c r="B2" i="29"/>
  <c r="B1" i="29"/>
  <c r="C17" i="28"/>
  <c r="C15" i="28" s="1"/>
  <c r="D15" i="28"/>
  <c r="C14" i="28"/>
  <c r="R8" i="28"/>
  <c r="N8" i="28"/>
  <c r="J8" i="28"/>
  <c r="F8" i="28"/>
  <c r="C12" i="28"/>
  <c r="C11" i="28"/>
  <c r="C10" i="28"/>
  <c r="C9" i="28"/>
  <c r="AA8" i="28"/>
  <c r="Z8" i="28"/>
  <c r="Y8" i="28"/>
  <c r="X8" i="28"/>
  <c r="W8" i="28"/>
  <c r="V8" i="28"/>
  <c r="U8" i="28"/>
  <c r="T8" i="28"/>
  <c r="S8" i="28"/>
  <c r="S8" i="29" s="1"/>
  <c r="Q8" i="28"/>
  <c r="Q8" i="29" s="1"/>
  <c r="P8" i="28"/>
  <c r="P8" i="29" s="1"/>
  <c r="O8" i="28"/>
  <c r="O8" i="29" s="1"/>
  <c r="M8" i="28"/>
  <c r="M8" i="29" s="1"/>
  <c r="K8" i="28"/>
  <c r="K8" i="29" s="1"/>
  <c r="G8" i="28"/>
  <c r="G8" i="29" s="1"/>
  <c r="B2" i="28"/>
  <c r="B1" i="28"/>
  <c r="B2" i="27"/>
  <c r="B1" i="27"/>
  <c r="D10" i="26"/>
  <c r="D15" i="26" s="1"/>
  <c r="C10" i="26"/>
  <c r="C7" i="26"/>
  <c r="C15" i="26" s="1"/>
  <c r="D7" i="26"/>
  <c r="B2" i="26"/>
  <c r="B1" i="26"/>
  <c r="G34" i="25"/>
  <c r="C13" i="27" s="1"/>
  <c r="C10" i="27" s="1"/>
  <c r="C18" i="27" s="1"/>
  <c r="F34"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B2" i="25"/>
  <c r="B1" i="25"/>
  <c r="H23" i="24"/>
  <c r="G22" i="24"/>
  <c r="F22" i="24"/>
  <c r="G21" i="24"/>
  <c r="F21" i="24"/>
  <c r="E33" i="25"/>
  <c r="D33" i="25"/>
  <c r="H19" i="24"/>
  <c r="H18" i="24"/>
  <c r="H17" i="24"/>
  <c r="H15" i="24"/>
  <c r="H14" i="24"/>
  <c r="H12" i="24"/>
  <c r="H11" i="24"/>
  <c r="H10" i="24"/>
  <c r="H9" i="24"/>
  <c r="H8" i="24"/>
  <c r="B2" i="24"/>
  <c r="B1" i="24"/>
  <c r="H20" i="23"/>
  <c r="H19" i="23"/>
  <c r="H18" i="23"/>
  <c r="H17" i="23"/>
  <c r="H16" i="23"/>
  <c r="H13" i="23"/>
  <c r="H12" i="23"/>
  <c r="H11" i="23"/>
  <c r="H10" i="23"/>
  <c r="H9" i="23"/>
  <c r="H8" i="23"/>
  <c r="B2" i="23"/>
  <c r="B1" i="23"/>
  <c r="G36" i="22"/>
  <c r="D33" i="22"/>
  <c r="G34" i="22"/>
  <c r="E33" i="22"/>
  <c r="G31" i="22"/>
  <c r="D24" i="22"/>
  <c r="F24" i="22"/>
  <c r="E24" i="22"/>
  <c r="C24" i="22"/>
  <c r="G19" i="22"/>
  <c r="F18" i="22"/>
  <c r="E18" i="22"/>
  <c r="D18" i="22"/>
  <c r="G16" i="22"/>
  <c r="F14" i="22"/>
  <c r="E14" i="22"/>
  <c r="I13" i="22"/>
  <c r="G13" i="22"/>
  <c r="F11" i="22"/>
  <c r="G12" i="22"/>
  <c r="D11" i="22"/>
  <c r="C11" i="22"/>
  <c r="G10" i="22"/>
  <c r="G9" i="22"/>
  <c r="G8" i="22" s="1"/>
  <c r="C8" i="22"/>
  <c r="F8" i="22"/>
  <c r="E8" i="22"/>
  <c r="D8" i="22"/>
  <c r="D14" i="22"/>
  <c r="B2" i="22"/>
  <c r="B1" i="22"/>
  <c r="F6" i="21"/>
  <c r="E6" i="21"/>
  <c r="D6" i="21"/>
  <c r="C6" i="21"/>
  <c r="C22" i="20"/>
  <c r="B2" i="20"/>
  <c r="B2" i="21" s="1"/>
  <c r="B1" i="20"/>
  <c r="B1" i="21" s="1"/>
  <c r="M34" i="19"/>
  <c r="D34" i="19"/>
  <c r="Q33" i="19"/>
  <c r="I33" i="19"/>
  <c r="Q32" i="19"/>
  <c r="I32" i="19"/>
  <c r="Q31" i="19"/>
  <c r="I31" i="19"/>
  <c r="I30" i="19"/>
  <c r="Q29" i="19"/>
  <c r="I29" i="19"/>
  <c r="Q28" i="19"/>
  <c r="I28" i="19"/>
  <c r="Q27" i="19"/>
  <c r="I27" i="19"/>
  <c r="I26" i="19"/>
  <c r="Q25" i="19"/>
  <c r="I25" i="19"/>
  <c r="Q24" i="19"/>
  <c r="I24" i="19"/>
  <c r="Q23" i="19"/>
  <c r="I23" i="19"/>
  <c r="I22" i="19"/>
  <c r="Q21" i="19"/>
  <c r="G9" i="19"/>
  <c r="F9" i="19"/>
  <c r="I9" i="19" s="1"/>
  <c r="C9" i="19"/>
  <c r="Q20" i="19"/>
  <c r="I20" i="19"/>
  <c r="G8" i="19"/>
  <c r="Q19" i="19"/>
  <c r="I19" i="19"/>
  <c r="I18" i="19"/>
  <c r="I17" i="19"/>
  <c r="I16" i="19"/>
  <c r="I15" i="19"/>
  <c r="I14" i="19"/>
  <c r="I13" i="19"/>
  <c r="I12" i="19"/>
  <c r="I11" i="19"/>
  <c r="I10" i="19"/>
  <c r="P9" i="19"/>
  <c r="O9" i="19"/>
  <c r="N9" i="19"/>
  <c r="M9" i="19"/>
  <c r="L9" i="19"/>
  <c r="K9" i="19"/>
  <c r="J9" i="19"/>
  <c r="P8" i="19"/>
  <c r="O8" i="19"/>
  <c r="N8" i="19"/>
  <c r="M8" i="19"/>
  <c r="L8" i="19"/>
  <c r="K8" i="19"/>
  <c r="K6" i="19" s="1"/>
  <c r="K34" i="19" s="1"/>
  <c r="J8" i="19"/>
  <c r="F8" i="19"/>
  <c r="C8" i="19"/>
  <c r="P7" i="19"/>
  <c r="N7" i="19"/>
  <c r="N6" i="19" s="1"/>
  <c r="N34" i="19" s="1"/>
  <c r="M7" i="19"/>
  <c r="L7" i="19"/>
  <c r="K7" i="19"/>
  <c r="J7" i="19"/>
  <c r="G7" i="19"/>
  <c r="G6" i="19" s="1"/>
  <c r="G34" i="19" s="1"/>
  <c r="F7" i="19"/>
  <c r="I7" i="19" s="1"/>
  <c r="I6" i="19" s="1"/>
  <c r="P6" i="19"/>
  <c r="P34" i="19" s="1"/>
  <c r="M6" i="19"/>
  <c r="L6" i="19"/>
  <c r="L34" i="19" s="1"/>
  <c r="F6" i="19"/>
  <c r="F34" i="19" s="1"/>
  <c r="I34" i="19" s="1"/>
  <c r="E6" i="19"/>
  <c r="E34" i="19" s="1"/>
  <c r="D6" i="19"/>
  <c r="J25" i="18"/>
  <c r="F25" i="18"/>
  <c r="K23" i="18"/>
  <c r="J23" i="18"/>
  <c r="I23" i="18"/>
  <c r="I25" i="18" s="1"/>
  <c r="G23" i="18"/>
  <c r="G25" i="18" s="1"/>
  <c r="F23" i="18"/>
  <c r="J21" i="18"/>
  <c r="I21" i="18"/>
  <c r="H21" i="18"/>
  <c r="G21" i="18"/>
  <c r="F21" i="18"/>
  <c r="D21" i="18"/>
  <c r="C21" i="18"/>
  <c r="K20" i="18"/>
  <c r="H20" i="18"/>
  <c r="E20" i="18"/>
  <c r="K19" i="18"/>
  <c r="H19" i="18"/>
  <c r="E19" i="18"/>
  <c r="K18" i="18"/>
  <c r="K21" i="18" s="1"/>
  <c r="H18" i="18"/>
  <c r="E18" i="18"/>
  <c r="E21" i="18" s="1"/>
  <c r="J16" i="18"/>
  <c r="I16" i="18"/>
  <c r="G16" i="18"/>
  <c r="D16" i="18"/>
  <c r="C16" i="18"/>
  <c r="E16" i="18" s="1"/>
  <c r="K15" i="18"/>
  <c r="H15" i="18"/>
  <c r="E15" i="18"/>
  <c r="K14" i="18"/>
  <c r="E14" i="18"/>
  <c r="F14" i="18" s="1"/>
  <c r="F16" i="18" s="1"/>
  <c r="H16" i="18" s="1"/>
  <c r="H24" i="18" s="1"/>
  <c r="K13" i="18"/>
  <c r="H13" i="18"/>
  <c r="E13" i="18"/>
  <c r="K12" i="18"/>
  <c r="H12" i="18"/>
  <c r="E12" i="18"/>
  <c r="K11" i="18"/>
  <c r="H11" i="18"/>
  <c r="E11" i="18"/>
  <c r="K10" i="18"/>
  <c r="K16" i="18" s="1"/>
  <c r="K24" i="18" s="1"/>
  <c r="H10" i="18"/>
  <c r="E10" i="18"/>
  <c r="K8" i="18"/>
  <c r="H8" i="18"/>
  <c r="H23" i="18" s="1"/>
  <c r="B2" i="18"/>
  <c r="B1" i="18"/>
  <c r="E22" i="17"/>
  <c r="D22" i="17"/>
  <c r="H21" i="17"/>
  <c r="H20" i="17"/>
  <c r="H19" i="17"/>
  <c r="H18" i="17"/>
  <c r="H17" i="17"/>
  <c r="H16" i="17"/>
  <c r="H15" i="17"/>
  <c r="F22" i="17"/>
  <c r="H13" i="17"/>
  <c r="H12" i="17"/>
  <c r="H11" i="17"/>
  <c r="H10" i="17"/>
  <c r="H9" i="17"/>
  <c r="H8" i="17"/>
  <c r="C22" i="17"/>
  <c r="B2" i="17"/>
  <c r="B1" i="17"/>
  <c r="T21" i="16"/>
  <c r="S21" i="16"/>
  <c r="R21" i="16"/>
  <c r="Q21" i="16"/>
  <c r="P21" i="16"/>
  <c r="O21" i="16"/>
  <c r="N21" i="16"/>
  <c r="M21" i="16"/>
  <c r="L21" i="16"/>
  <c r="K21" i="16"/>
  <c r="J21" i="16"/>
  <c r="I21" i="16"/>
  <c r="H21" i="16"/>
  <c r="G21" i="16"/>
  <c r="F21" i="16"/>
  <c r="E21" i="16"/>
  <c r="D21" i="16"/>
  <c r="C21" i="16"/>
  <c r="V20" i="16"/>
  <c r="V19" i="16"/>
  <c r="V18" i="16"/>
  <c r="V17" i="16"/>
  <c r="V16" i="16"/>
  <c r="V15" i="16"/>
  <c r="V14" i="16"/>
  <c r="U21" i="16"/>
  <c r="V12" i="16"/>
  <c r="V11" i="16"/>
  <c r="V10" i="16"/>
  <c r="V9" i="16"/>
  <c r="V8" i="16"/>
  <c r="V7" i="16"/>
  <c r="B2" i="16"/>
  <c r="B1" i="16"/>
  <c r="R22" i="15"/>
  <c r="P22" i="15"/>
  <c r="L22" i="15"/>
  <c r="J22" i="15"/>
  <c r="H22" i="15"/>
  <c r="F22" i="15"/>
  <c r="D22" i="15"/>
  <c r="S21" i="15"/>
  <c r="K22" i="15"/>
  <c r="S19" i="15"/>
  <c r="S18" i="15"/>
  <c r="S17" i="15"/>
  <c r="S15" i="15"/>
  <c r="N22" i="15"/>
  <c r="S14" i="15"/>
  <c r="G22" i="15"/>
  <c r="S12" i="15"/>
  <c r="S11" i="15"/>
  <c r="S10" i="15"/>
  <c r="S9" i="15"/>
  <c r="Q22" i="15"/>
  <c r="I22" i="15"/>
  <c r="B2" i="15"/>
  <c r="B1" i="15"/>
  <c r="B2" i="14"/>
  <c r="B1" i="14"/>
  <c r="E12" i="13"/>
  <c r="D12" i="13"/>
  <c r="C12" i="13"/>
  <c r="B12" i="13"/>
  <c r="E11" i="13"/>
  <c r="D11" i="13"/>
  <c r="C11" i="13"/>
  <c r="B11" i="13"/>
  <c r="F11" i="13" s="1"/>
  <c r="E10" i="13"/>
  <c r="D10" i="13"/>
  <c r="C10" i="13"/>
  <c r="B10" i="13"/>
  <c r="F10" i="13" s="1"/>
  <c r="F9" i="13"/>
  <c r="E9" i="13"/>
  <c r="D9" i="13"/>
  <c r="C9" i="13"/>
  <c r="B9" i="13"/>
  <c r="B16" i="12"/>
  <c r="B14" i="12" s="1"/>
  <c r="B11" i="12"/>
  <c r="B7" i="12"/>
  <c r="B6" i="12"/>
  <c r="B22" i="12" s="1"/>
  <c r="C19" i="11"/>
  <c r="C10" i="11"/>
  <c r="B2" i="11"/>
  <c r="B1" i="11"/>
  <c r="C48" i="10"/>
  <c r="C44" i="10"/>
  <c r="C53" i="10" s="1"/>
  <c r="C36" i="10"/>
  <c r="C31" i="10"/>
  <c r="C42" i="10" s="1"/>
  <c r="C13" i="10"/>
  <c r="C6" i="10"/>
  <c r="B2" i="10"/>
  <c r="B1" i="10"/>
  <c r="B2" i="9"/>
  <c r="B1" i="9"/>
  <c r="D25" i="8"/>
  <c r="D20" i="8"/>
  <c r="D16" i="8"/>
  <c r="D8" i="8"/>
  <c r="B2" i="8"/>
  <c r="B1" i="8"/>
  <c r="B2" i="7"/>
  <c r="B1" i="7"/>
  <c r="B2" i="6"/>
  <c r="F5" i="6" s="1"/>
  <c r="B1" i="6"/>
  <c r="E43" i="5"/>
  <c r="E42" i="5"/>
  <c r="E41" i="5"/>
  <c r="E40" i="5"/>
  <c r="E39" i="5"/>
  <c r="D38" i="5"/>
  <c r="E38" i="5" s="1"/>
  <c r="C38" i="5"/>
  <c r="E37" i="5"/>
  <c r="E36" i="5"/>
  <c r="E35" i="5"/>
  <c r="E34" i="5"/>
  <c r="E33" i="5"/>
  <c r="E32" i="5"/>
  <c r="C7" i="9" s="1"/>
  <c r="E31" i="5"/>
  <c r="C30" i="5"/>
  <c r="E29" i="5"/>
  <c r="E28" i="5"/>
  <c r="D27" i="28" s="1"/>
  <c r="E27" i="5"/>
  <c r="E26" i="5"/>
  <c r="E25" i="5"/>
  <c r="E24" i="5"/>
  <c r="E23" i="5"/>
  <c r="E22" i="5"/>
  <c r="E21" i="5"/>
  <c r="E20" i="5"/>
  <c r="E19" i="5"/>
  <c r="E18" i="5"/>
  <c r="E16" i="5"/>
  <c r="E13" i="5"/>
  <c r="E12" i="5"/>
  <c r="D11" i="5"/>
  <c r="E10" i="5"/>
  <c r="E9" i="5"/>
  <c r="D8" i="5"/>
  <c r="E8" i="5" s="1"/>
  <c r="C8" i="5"/>
  <c r="E7" i="5"/>
  <c r="E6" i="5"/>
  <c r="B2" i="5"/>
  <c r="B1" i="5"/>
  <c r="E44" i="4"/>
  <c r="E42" i="4"/>
  <c r="E41" i="4"/>
  <c r="E40" i="4"/>
  <c r="E39" i="4"/>
  <c r="E38" i="4"/>
  <c r="D37" i="4"/>
  <c r="C37" i="4"/>
  <c r="E36" i="4"/>
  <c r="E35" i="4"/>
  <c r="D34" i="4"/>
  <c r="E34" i="4" s="1"/>
  <c r="C34" i="4"/>
  <c r="E33" i="4"/>
  <c r="E31" i="4"/>
  <c r="C29" i="4"/>
  <c r="E28" i="4"/>
  <c r="E27" i="4"/>
  <c r="E25" i="4"/>
  <c r="E24" i="4"/>
  <c r="E23" i="4"/>
  <c r="E22" i="4"/>
  <c r="E21" i="4"/>
  <c r="E19" i="4"/>
  <c r="E18" i="4"/>
  <c r="E17" i="4"/>
  <c r="E16" i="4"/>
  <c r="E15" i="4"/>
  <c r="E14" i="4"/>
  <c r="D13" i="4"/>
  <c r="C13" i="4"/>
  <c r="E12" i="4"/>
  <c r="D6" i="4"/>
  <c r="E10" i="4"/>
  <c r="E9" i="4"/>
  <c r="E8" i="4"/>
  <c r="E7" i="4"/>
  <c r="B2" i="4"/>
  <c r="B1" i="4"/>
  <c r="E66" i="3"/>
  <c r="C65" i="14" s="1"/>
  <c r="E65" i="3"/>
  <c r="C64" i="14" s="1"/>
  <c r="E64" i="3"/>
  <c r="D63" i="3"/>
  <c r="E62" i="3"/>
  <c r="C61" i="14" s="1"/>
  <c r="E61" i="3"/>
  <c r="C60" i="14" s="1"/>
  <c r="E60" i="3"/>
  <c r="C59" i="14" s="1"/>
  <c r="D59" i="3"/>
  <c r="D68" i="3" s="1"/>
  <c r="C59" i="3"/>
  <c r="E58" i="3"/>
  <c r="C57" i="14" s="1"/>
  <c r="E57" i="3"/>
  <c r="C56" i="14" s="1"/>
  <c r="E56" i="3"/>
  <c r="C55" i="14" s="1"/>
  <c r="E52" i="3"/>
  <c r="C51" i="14" s="1"/>
  <c r="E50" i="3"/>
  <c r="D47" i="3"/>
  <c r="E48" i="3"/>
  <c r="C47" i="14" s="1"/>
  <c r="E45" i="3"/>
  <c r="E44" i="3"/>
  <c r="C43" i="14" s="1"/>
  <c r="E43" i="3"/>
  <c r="C42" i="14" s="1"/>
  <c r="C41" i="3"/>
  <c r="E40" i="3"/>
  <c r="C39" i="14" s="1"/>
  <c r="C38" i="3"/>
  <c r="E35" i="3"/>
  <c r="C36" i="8" s="1"/>
  <c r="E34" i="3"/>
  <c r="C35" i="8" s="1"/>
  <c r="E35" i="8" s="1"/>
  <c r="E33" i="3"/>
  <c r="C20" i="10"/>
  <c r="E31" i="3"/>
  <c r="D30" i="3"/>
  <c r="C30" i="3"/>
  <c r="E29" i="3"/>
  <c r="E28" i="3"/>
  <c r="C29" i="8" s="1"/>
  <c r="D27" i="3"/>
  <c r="E27" i="3" s="1"/>
  <c r="C27" i="3"/>
  <c r="E26" i="3"/>
  <c r="C27" i="8" s="1"/>
  <c r="E27" i="8" s="1"/>
  <c r="C25" i="14" s="1"/>
  <c r="D24" i="3"/>
  <c r="E22" i="3"/>
  <c r="C23" i="8" s="1"/>
  <c r="E23" i="8" s="1"/>
  <c r="E21" i="3"/>
  <c r="E18" i="3"/>
  <c r="C19" i="8" s="1"/>
  <c r="E19" i="8" s="1"/>
  <c r="C17" i="14" s="1"/>
  <c r="E17" i="3"/>
  <c r="C18" i="8" s="1"/>
  <c r="E18" i="8" s="1"/>
  <c r="C16" i="14" s="1"/>
  <c r="D15" i="3"/>
  <c r="E14" i="3"/>
  <c r="C15" i="8" s="1"/>
  <c r="E15" i="8" s="1"/>
  <c r="C13" i="14" s="1"/>
  <c r="E13" i="3"/>
  <c r="C14" i="8" s="1"/>
  <c r="E14" i="8" s="1"/>
  <c r="C12" i="14" s="1"/>
  <c r="E12" i="3"/>
  <c r="D11" i="3"/>
  <c r="C11" i="3"/>
  <c r="E10" i="3"/>
  <c r="D7" i="3"/>
  <c r="E8" i="3"/>
  <c r="C7" i="3"/>
  <c r="B2" i="3"/>
  <c r="B1" i="3"/>
  <c r="B1" i="2"/>
  <c r="Q26" i="19" l="1"/>
  <c r="Q22" i="19"/>
  <c r="Q30" i="19"/>
  <c r="Q18" i="19"/>
  <c r="J6" i="19"/>
  <c r="J34" i="19" s="1"/>
  <c r="E37" i="4"/>
  <c r="C58" i="14"/>
  <c r="E30" i="3"/>
  <c r="E59" i="3"/>
  <c r="D36" i="3"/>
  <c r="C21" i="23"/>
  <c r="C9" i="8"/>
  <c r="C11" i="8"/>
  <c r="E11" i="8" s="1"/>
  <c r="C9" i="14" s="1"/>
  <c r="E16" i="3"/>
  <c r="C17" i="8" s="1"/>
  <c r="C15" i="3"/>
  <c r="E21" i="23"/>
  <c r="E22" i="23" s="1"/>
  <c r="E7" i="3"/>
  <c r="C19" i="3"/>
  <c r="E23" i="3"/>
  <c r="C34" i="14"/>
  <c r="E36" i="8"/>
  <c r="E9" i="3"/>
  <c r="D19" i="3"/>
  <c r="C27" i="14"/>
  <c r="E29" i="8"/>
  <c r="C32" i="8"/>
  <c r="E32" i="3"/>
  <c r="C33" i="8" s="1"/>
  <c r="C44" i="14"/>
  <c r="D43" i="4"/>
  <c r="D45" i="4" s="1"/>
  <c r="E20" i="4"/>
  <c r="E30" i="4"/>
  <c r="D29" i="4"/>
  <c r="E32" i="4"/>
  <c r="G8" i="31"/>
  <c r="C28" i="28"/>
  <c r="C33" i="14"/>
  <c r="E49" i="3"/>
  <c r="E51" i="3"/>
  <c r="C63" i="14"/>
  <c r="C62" i="14" s="1"/>
  <c r="C11" i="9"/>
  <c r="C6" i="6"/>
  <c r="E11" i="3"/>
  <c r="E25" i="3"/>
  <c r="C24" i="3"/>
  <c r="E24" i="3" s="1"/>
  <c r="C22" i="8"/>
  <c r="C30" i="8"/>
  <c r="C49" i="14"/>
  <c r="E13" i="4"/>
  <c r="E26" i="4"/>
  <c r="E29" i="4"/>
  <c r="D30" i="5"/>
  <c r="E30" i="5" s="1"/>
  <c r="C13" i="8"/>
  <c r="E13" i="8" s="1"/>
  <c r="C11" i="14" s="1"/>
  <c r="C20" i="11"/>
  <c r="E39" i="3"/>
  <c r="C38" i="14" s="1"/>
  <c r="E20" i="3"/>
  <c r="C34" i="8"/>
  <c r="D38" i="3"/>
  <c r="E42" i="3"/>
  <c r="E46" i="3"/>
  <c r="E11" i="4"/>
  <c r="C6" i="4"/>
  <c r="E15" i="5"/>
  <c r="D17" i="5"/>
  <c r="D14" i="5" s="1"/>
  <c r="C27" i="28"/>
  <c r="D22" i="28"/>
  <c r="G5" i="6"/>
  <c r="C5" i="6"/>
  <c r="E5" i="6"/>
  <c r="D5" i="6"/>
  <c r="H25" i="18"/>
  <c r="K25" i="18"/>
  <c r="C47" i="3"/>
  <c r="E47" i="3" s="1"/>
  <c r="E55" i="3"/>
  <c r="E67" i="3"/>
  <c r="C11" i="5"/>
  <c r="E11" i="5" s="1"/>
  <c r="C17" i="5"/>
  <c r="E17" i="5" s="1"/>
  <c r="C21" i="11"/>
  <c r="F12" i="13"/>
  <c r="E22" i="15"/>
  <c r="M22" i="15"/>
  <c r="C22" i="15"/>
  <c r="V13" i="16"/>
  <c r="V21" i="16" s="1"/>
  <c r="H14" i="18"/>
  <c r="I8" i="19"/>
  <c r="Q12" i="19"/>
  <c r="Q16" i="19"/>
  <c r="C7" i="19"/>
  <c r="C6" i="19" s="1"/>
  <c r="C34" i="19" s="1"/>
  <c r="C8" i="20"/>
  <c r="C63" i="3"/>
  <c r="E63" i="3" s="1"/>
  <c r="O22" i="15"/>
  <c r="S16" i="15"/>
  <c r="G22" i="17"/>
  <c r="Q11" i="19"/>
  <c r="O7" i="19"/>
  <c r="O6" i="19" s="1"/>
  <c r="O34" i="19" s="1"/>
  <c r="Q15" i="19"/>
  <c r="Q14" i="19" s="1"/>
  <c r="I21" i="19"/>
  <c r="G11" i="22"/>
  <c r="G15" i="22"/>
  <c r="B23" i="12"/>
  <c r="B21" i="12"/>
  <c r="S20" i="15"/>
  <c r="H14" i="17"/>
  <c r="S8" i="15"/>
  <c r="S13" i="15"/>
  <c r="Q13" i="19"/>
  <c r="Q9" i="19" s="1"/>
  <c r="Q17" i="19"/>
  <c r="C14" i="20"/>
  <c r="E11" i="22"/>
  <c r="G20" i="22"/>
  <c r="C18" i="22"/>
  <c r="H13" i="24"/>
  <c r="C21" i="24"/>
  <c r="C22" i="24"/>
  <c r="G26" i="22"/>
  <c r="F22" i="23"/>
  <c r="G18" i="22"/>
  <c r="G22" i="23"/>
  <c r="D21" i="24"/>
  <c r="H7" i="24"/>
  <c r="E34" i="25"/>
  <c r="C14" i="22"/>
  <c r="N8" i="29"/>
  <c r="R8" i="29"/>
  <c r="H15" i="23"/>
  <c r="E22" i="24"/>
  <c r="E21" i="24"/>
  <c r="J8" i="29"/>
  <c r="D34" i="25"/>
  <c r="F8" i="29"/>
  <c r="D19" i="32"/>
  <c r="H20" i="24"/>
  <c r="H7" i="25"/>
  <c r="C16" i="29"/>
  <c r="C33" i="25"/>
  <c r="H33" i="25" s="1"/>
  <c r="G7" i="30"/>
  <c r="G33" i="30" s="1"/>
  <c r="H16" i="24"/>
  <c r="D22" i="24"/>
  <c r="E8" i="28"/>
  <c r="I8" i="28"/>
  <c r="H8" i="28"/>
  <c r="L8" i="28"/>
  <c r="D11" i="32"/>
  <c r="I11" i="32"/>
  <c r="I19" i="32" s="1"/>
  <c r="N11" i="32"/>
  <c r="N19" i="32" s="1"/>
  <c r="Q8" i="19" l="1"/>
  <c r="C22" i="28"/>
  <c r="C36" i="3"/>
  <c r="C41" i="14"/>
  <c r="C40" i="14" s="1"/>
  <c r="H8" i="29"/>
  <c r="C34" i="25"/>
  <c r="C66" i="14"/>
  <c r="C14" i="5"/>
  <c r="E14" i="5" s="1"/>
  <c r="C32" i="14"/>
  <c r="E34" i="8"/>
  <c r="E19" i="3"/>
  <c r="E9" i="8"/>
  <c r="L8" i="29"/>
  <c r="E8" i="29"/>
  <c r="H21" i="24"/>
  <c r="G24" i="22"/>
  <c r="H14" i="23"/>
  <c r="Q10" i="19"/>
  <c r="Q7" i="19"/>
  <c r="Q6" i="19" s="1"/>
  <c r="Q34" i="19" s="1"/>
  <c r="C54" i="14"/>
  <c r="C43" i="4"/>
  <c r="E6" i="4"/>
  <c r="D41" i="3"/>
  <c r="E41" i="3" s="1"/>
  <c r="C21" i="8"/>
  <c r="C28" i="14"/>
  <c r="C26" i="14" s="1"/>
  <c r="D30" i="8"/>
  <c r="D28" i="8" s="1"/>
  <c r="C35" i="22"/>
  <c r="C26" i="8"/>
  <c r="C13" i="6"/>
  <c r="D21" i="11" s="1"/>
  <c r="C50" i="14"/>
  <c r="C31" i="14"/>
  <c r="D33" i="8"/>
  <c r="D31" i="8" s="1"/>
  <c r="C28" i="8"/>
  <c r="C10" i="8"/>
  <c r="E10" i="8" s="1"/>
  <c r="C8" i="14" s="1"/>
  <c r="H21" i="23"/>
  <c r="C22" i="23"/>
  <c r="D22" i="23"/>
  <c r="C13" i="28"/>
  <c r="D8" i="28"/>
  <c r="I8" i="29"/>
  <c r="C26" i="20"/>
  <c r="C32" i="20" s="1"/>
  <c r="G14" i="22"/>
  <c r="G21" i="22" s="1"/>
  <c r="H22" i="17"/>
  <c r="E38" i="3"/>
  <c r="C37" i="14" s="1"/>
  <c r="E32" i="8"/>
  <c r="C30" i="14"/>
  <c r="C31" i="8"/>
  <c r="F31" i="8" s="1"/>
  <c r="C24" i="8"/>
  <c r="E24" i="8" s="1"/>
  <c r="E36" i="3"/>
  <c r="E15" i="3"/>
  <c r="H22" i="24"/>
  <c r="S22" i="15"/>
  <c r="C68" i="3"/>
  <c r="C45" i="14"/>
  <c r="C53" i="3"/>
  <c r="E22" i="8"/>
  <c r="C20" i="14"/>
  <c r="C12" i="8"/>
  <c r="E12" i="8" s="1"/>
  <c r="C48" i="14"/>
  <c r="C46" i="14" s="1"/>
  <c r="E17" i="8"/>
  <c r="C16" i="8"/>
  <c r="D53" i="3" l="1"/>
  <c r="E33" i="8"/>
  <c r="D37" i="8"/>
  <c r="C8" i="8"/>
  <c r="C29" i="14"/>
  <c r="C67" i="14"/>
  <c r="C10" i="14"/>
  <c r="F12" i="8"/>
  <c r="C15" i="10"/>
  <c r="F28" i="8"/>
  <c r="D8" i="29"/>
  <c r="C8" i="28"/>
  <c r="C19" i="14"/>
  <c r="C18" i="14" s="1"/>
  <c r="E21" i="8"/>
  <c r="E20" i="8" s="1"/>
  <c r="F20" i="8" s="1"/>
  <c r="C20" i="8"/>
  <c r="D20" i="11"/>
  <c r="E68" i="3"/>
  <c r="E31" i="8"/>
  <c r="E53" i="3"/>
  <c r="C69" i="3"/>
  <c r="C52" i="14"/>
  <c r="C25" i="8"/>
  <c r="E26" i="8"/>
  <c r="E30" i="8"/>
  <c r="E28" i="8" s="1"/>
  <c r="C7" i="14"/>
  <c r="C6" i="14" s="1"/>
  <c r="E8" i="8"/>
  <c r="C15" i="14"/>
  <c r="C14" i="14" s="1"/>
  <c r="E16" i="8"/>
  <c r="F16" i="8" s="1"/>
  <c r="D69" i="3"/>
  <c r="D11" i="11"/>
  <c r="D13" i="11"/>
  <c r="D16" i="11"/>
  <c r="D12" i="11"/>
  <c r="D15" i="11"/>
  <c r="D9" i="11"/>
  <c r="D19" i="11"/>
  <c r="D17" i="11"/>
  <c r="D8" i="11"/>
  <c r="D7" i="11"/>
  <c r="C33" i="22"/>
  <c r="F33" i="22"/>
  <c r="H34" i="25"/>
  <c r="H22" i="23"/>
  <c r="C45" i="4"/>
  <c r="E43" i="4"/>
  <c r="C22" i="14"/>
  <c r="F24" i="8"/>
  <c r="C37" i="8" l="1"/>
  <c r="C68" i="14"/>
  <c r="E69" i="3"/>
  <c r="E45" i="4"/>
  <c r="C8" i="29"/>
  <c r="C12" i="10"/>
  <c r="C29" i="10" s="1"/>
  <c r="G35" i="22"/>
  <c r="D10" i="11"/>
  <c r="C24" i="14"/>
  <c r="C23" i="14" s="1"/>
  <c r="E25" i="8"/>
  <c r="F25" i="8" s="1"/>
  <c r="F8" i="8"/>
  <c r="C35" i="14"/>
  <c r="E37" i="8" l="1"/>
  <c r="C5" i="9" s="1"/>
  <c r="K6" i="31"/>
  <c r="G33" i="22"/>
  <c r="G37" i="22" s="1"/>
  <c r="G39" i="22" l="1"/>
  <c r="C8" i="9"/>
  <c r="C13" i="9" s="1"/>
  <c r="C31" i="20"/>
  <c r="C3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767A4E5-CDAA-42F7-90D3-27B5E17FC43F}">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<sst xmlns="http://schemas.openxmlformats.org/spreadsheetml/2006/main" count="1653" uniqueCount="1039">
  <si>
    <t>პილარ 3-ის კვარტალური ანგარიშგება</t>
  </si>
  <si>
    <t>ბანკის სრული დასახელება</t>
  </si>
  <si>
    <t>სს სილქ ბანკი</t>
  </si>
  <si>
    <t>ბანკის სამეთვალყურეო საბჭოს თავმჯდომარე</t>
  </si>
  <si>
    <t>ი. მანაგაძე</t>
  </si>
  <si>
    <t>ბანკის გენერალური დირექტორი</t>
  </si>
  <si>
    <t>ა.ხოროშვილი</t>
  </si>
  <si>
    <t>ბანკის ვებ-გვერდი</t>
  </si>
  <si>
    <t>www.silkbank.ge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</si>
  <si>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</si>
  <si>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</si>
  <si>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</si>
  <si>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</si>
  <si>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</si>
  <si>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</si>
  <si>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</si>
  <si>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</si>
  <si>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</si>
  <si>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</si>
  <si>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</si>
  <si>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</si>
  <si>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</si>
  <si>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</si>
  <si>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</si>
  <si>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</si>
  <si>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</si>
  <si>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</si>
  <si>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</si>
  <si>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</si>
  <si>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</si>
  <si>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წმინდა სტაბილური დაფინანსების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</si>
  <si>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</si>
  <si>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</si>
  <si>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</si>
  <si>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</si>
  <si>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</si>
  <si>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</si>
  <si>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</si>
  <si>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</si>
  <si>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</si>
  <si>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</si>
  <si>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ბანკი:</t>
  </si>
  <si>
    <t>თარიღი:</t>
  </si>
  <si>
    <t>ცხრილი 1</t>
  </si>
  <si>
    <t>ფასს-ის საფუძელზე დაანგარიშებული რიცხვები</t>
  </si>
  <si>
    <t>N</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</si>
  <si>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</si>
  <si>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</si>
  <si>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</si>
  <si>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</si>
  <si>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</si>
  <si>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</si>
  <si>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</si>
  <si>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</si>
  <si>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</si>
  <si>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</si>
  <si>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</si>
  <si>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</si>
  <si>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</si>
  <si>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</si>
  <si>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</si>
  <si>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</si>
  <si>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</si>
  <si>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</si>
  <si>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</si>
  <si>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</si>
  <si>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</si>
  <si>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</si>
  <si>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</si>
  <si>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</si>
  <si>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</si>
  <si>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</si>
  <si>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</si>
  <si>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</si>
  <si>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</si>
  <si>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</si>
  <si>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</si>
  <si>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</si>
  <si>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</si>
  <si>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</si>
  <si>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</si>
  <si>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</si>
  <si>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</si>
  <si>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</si>
  <si>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</si>
  <si>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</si>
  <si>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</si>
  <si>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</si>
  <si>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</si>
  <si>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</si>
  <si>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Check with FSF</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</si>
  <si>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</si>
  <si>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</si>
  <si>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</si>
  <si>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</si>
  <si>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</si>
  <si>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</si>
  <si>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</si>
  <si>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</si>
  <si>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</si>
  <si>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</si>
  <si>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</si>
  <si>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</si>
  <si>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</si>
  <si>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</si>
  <si>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</si>
  <si>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</si>
  <si>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</si>
  <si>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</si>
  <si>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</si>
  <si>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</si>
  <si>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</si>
  <si>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</si>
  <si>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</si>
  <si>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</si>
  <si>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</si>
  <si>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</si>
  <si>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</si>
  <si>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</si>
  <si>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</si>
  <si>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</si>
  <si>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</si>
  <si>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</si>
  <si>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</si>
  <si>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</si>
  <si>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</si>
  <si>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</si>
  <si>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</si>
  <si>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</si>
  <si>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</si>
  <si>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</si>
  <si>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</si>
  <si>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</si>
  <si>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</si>
  <si>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</si>
  <si>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</si>
  <si>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</si>
  <si>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</si>
  <si>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</si>
  <si>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</si>
  <si>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</si>
  <si>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</si>
  <si>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</si>
  <si>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</si>
  <si>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</si>
  <si>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</si>
  <si>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</si>
  <si>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</si>
  <si>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</si>
  <si>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</si>
  <si>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</si>
  <si>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</si>
  <si>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</si>
  <si>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</si>
  <si>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</si>
  <si>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</si>
  <si>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</si>
  <si>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</si>
  <si>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</si>
  <si>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</si>
  <si>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</si>
  <si>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</si>
  <si>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</si>
  <si>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</si>
  <si>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</si>
  <si>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</si>
  <si>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</si>
  <si>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</si>
  <si>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</si>
  <si>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</si>
  <si>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</si>
  <si>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</si>
  <si>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</si>
  <si>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</si>
  <si>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</si>
  <si>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</si>
  <si>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</si>
  <si>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</si>
  <si>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</si>
  <si>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</si>
  <si>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</si>
  <si>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</si>
  <si>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</si>
  <si>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</si>
  <si>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</si>
  <si>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</si>
  <si>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</si>
  <si>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</si>
  <si>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</si>
  <si>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</si>
  <si>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</si>
  <si>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</si>
  <si>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</si>
  <si>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</si>
  <si>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</si>
  <si>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</si>
  <si>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</si>
  <si>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</si>
  <si>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</si>
  <si>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</si>
  <si>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</si>
  <si>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</si>
  <si>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</si>
  <si>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</si>
  <si>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</si>
  <si>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</si>
  <si>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</si>
  <si>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</si>
  <si>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</si>
  <si>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სხვა</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</si>
  <si>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</si>
  <si>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</si>
  <si>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</si>
  <si>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</si>
  <si>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</si>
  <si>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</si>
  <si>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</si>
  <si>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</si>
  <si>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</si>
  <si>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</si>
  <si>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</si>
  <si>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</si>
  <si>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</si>
  <si>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</si>
  <si>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</si>
  <si>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</si>
  <si>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</si>
  <si>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</si>
  <si>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</si>
  <si>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</si>
  <si>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</si>
  <si>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ლარებით</t>
  </si>
  <si>
    <t>საკრედიტო რისკი მიხედვით შეწონილი რისკის პოზიციები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</si>
  <si>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</si>
  <si>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</si>
  <si>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</si>
  <si>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</si>
  <si>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</si>
  <si>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</si>
  <si>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</si>
  <si>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</si>
  <si>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</si>
  <si>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</si>
  <si>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</si>
  <si>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</si>
  <si>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</si>
  <si>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</si>
  <si>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</si>
  <si>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</si>
  <si>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</si>
  <si>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</si>
  <si>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</si>
  <si>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</si>
  <si>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</si>
  <si>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</si>
  <si>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</si>
  <si>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</si>
  <si>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</si>
  <si>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</si>
  <si>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</si>
  <si>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</si>
  <si>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</si>
  <si>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</si>
  <si>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</si>
  <si>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</si>
  <si>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</si>
  <si>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</si>
  <si>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</si>
  <si>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</si>
  <si>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</si>
  <si>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</si>
  <si>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</si>
  <si>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</si>
  <si>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</si>
  <si>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</si>
  <si>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</si>
  <si>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ალექსანდრე ხეთაგური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</si>
  <si>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</si>
  <si>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</si>
  <si>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</si>
  <si>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</si>
  <si>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</si>
  <si>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</si>
  <si>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</si>
  <si>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</si>
  <si>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</si>
  <si>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</si>
  <si>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</si>
  <si>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</si>
  <si>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</si>
  <si>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</si>
  <si>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</si>
  <si>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</si>
  <si>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</si>
  <si>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</si>
  <si>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სულ საკრედიტო რისკის მიხედვით შეწონვას დაქვემდებარებული რისკის პოზიციები</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</si>
  <si>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</si>
  <si>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</si>
  <si>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</si>
  <si>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</si>
  <si>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</si>
  <si>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</si>
  <si>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</si>
  <si>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</si>
  <si>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</si>
  <si>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</si>
  <si>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</si>
  <si>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</si>
  <si>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</si>
  <si>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</si>
  <si>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</si>
  <si>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</si>
  <si>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</si>
  <si>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</si>
  <si>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</si>
  <si>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</si>
  <si>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</si>
  <si>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</si>
  <si>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</si>
  <si>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</si>
  <si>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</si>
  <si>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</si>
  <si>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</si>
  <si>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</si>
  <si>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</si>
  <si>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</si>
  <si>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</si>
  <si>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</si>
  <si>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</si>
  <si>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</si>
  <si>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</si>
  <si>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</si>
  <si>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</si>
  <si>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</si>
  <si>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</si>
  <si>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</si>
  <si>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</si>
  <si>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</si>
  <si>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</si>
  <si>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</si>
  <si>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</si>
  <si>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</si>
  <si>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</si>
  <si>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</si>
  <si>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</si>
  <si>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</si>
  <si>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</si>
  <si>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</si>
  <si>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</si>
  <si>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</si>
  <si>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</si>
  <si>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</si>
  <si>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</si>
  <si>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</si>
  <si>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</si>
  <si>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</si>
  <si>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</si>
  <si>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</si>
  <si>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</si>
  <si>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</si>
  <si>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</si>
  <si>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</si>
  <si>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</si>
  <si>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</si>
  <si>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</si>
  <si>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</si>
  <si>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</si>
  <si>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</si>
  <si>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</si>
  <si>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</si>
  <si>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</si>
  <si>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</si>
  <si>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</si>
  <si>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ცხრილი 9.2</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</si>
  <si>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</si>
  <si>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</si>
  <si>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</si>
  <si>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r>
      <t>საზედამხედველო კაპიტალი</t>
    </r>
    <r>
      <rPr>
        <b/>
        <vertAlign val="superscript"/>
        <sz val="10"/>
        <color theme="1"/>
        <rFont val="Arial"/>
        <family val="2"/>
      </rPr>
      <t>1</t>
    </r>
  </si>
  <si>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</si>
  <si>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</si>
  <si>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</si>
  <si>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</si>
  <si>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</si>
  <si>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</si>
  <si>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</si>
  <si>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</si>
  <si>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</si>
  <si>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</si>
  <si>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</si>
  <si>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</si>
  <si>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</si>
  <si>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</si>
  <si>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</si>
  <si>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r>
      <rPr>
        <i/>
        <vertAlign val="superscript"/>
        <sz val="9"/>
        <rFont val="Aptos Narrow"/>
        <family val="2"/>
        <scheme val="minor"/>
      </rPr>
      <t xml:space="preserve">1 </t>
    </r>
    <r>
      <rPr>
        <i/>
        <sz val="9"/>
        <rFont val="Aptos Narrow"/>
        <family val="2"/>
        <scheme val="minor"/>
      </rPr>
      <t xml:space="preserve">კაპიტალში ჩართული ინსტრუმენტები
</t>
    </r>
  </si>
  <si>
    <r>
      <rPr>
        <i/>
        <vertAlign val="superscript"/>
        <sz val="9"/>
        <rFont val="Aptos Narrow"/>
        <family val="2"/>
        <scheme val="minor"/>
      </rPr>
      <t xml:space="preserve">2 </t>
    </r>
    <r>
      <rPr>
        <i/>
        <sz val="9"/>
        <rFont val="Aptos Narrow"/>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</si>
  <si>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Aptos Narrow"/>
        <family val="2"/>
        <scheme val="minor"/>
      </rPr>
      <t xml:space="preserve">3 </t>
    </r>
    <r>
      <rPr>
        <i/>
        <sz val="9"/>
        <rFont val="Aptos Narrow"/>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</si>
  <si>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ცხრილი 9.3</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</si>
  <si>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</si>
  <si>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</si>
  <si>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</si>
  <si>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</si>
  <si>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</si>
  <si>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</si>
  <si>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</si>
  <si>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</si>
  <si>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</si>
  <si>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</si>
  <si>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</si>
  <si>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</si>
  <si>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</si>
  <si>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</si>
  <si>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</si>
  <si>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 xml:space="preserve"> ცხრილი 9 (Capital), N15</t>
  </si>
  <si>
    <t xml:space="preserve"> ცხრილი 9 (Capital), N6</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</si>
  <si>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</si>
  <si>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</si>
  <si>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</si>
  <si>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</si>
  <si>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</si>
  <si>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</si>
  <si>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</si>
  <si>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</si>
  <si>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</si>
  <si>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</si>
  <si>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</si>
  <si>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</si>
  <si>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</si>
  <si>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</si>
  <si>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</si>
  <si>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</si>
  <si>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</si>
  <si>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</si>
  <si>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</si>
  <si>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</si>
  <si>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</si>
  <si>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</si>
  <si>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</si>
  <si>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</si>
  <si>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</si>
  <si>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</si>
  <si>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</si>
  <si>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</si>
  <si>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</si>
  <si>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</si>
  <si>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</si>
  <si>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</si>
  <si>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</si>
  <si>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</si>
  <si>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</si>
  <si>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</si>
  <si>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</si>
  <si>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</si>
  <si>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</si>
  <si>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</si>
  <si>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</si>
  <si>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</si>
  <si>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</si>
  <si>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</si>
  <si>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</si>
  <si>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</si>
  <si>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</si>
  <si>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</si>
  <si>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</si>
  <si>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</si>
  <si>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</si>
  <si>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</si>
  <si>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</si>
  <si>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</si>
  <si>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</si>
  <si>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</si>
  <si>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</si>
  <si>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</si>
  <si>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</si>
  <si>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</si>
  <si>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</si>
  <si>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</si>
  <si>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</si>
  <si>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</si>
  <si>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</si>
  <si>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</si>
  <si>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</si>
  <si>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</si>
  <si>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</si>
  <si>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</si>
  <si>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</si>
  <si>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</si>
  <si>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</si>
  <si>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</si>
  <si>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</si>
  <si>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</si>
  <si>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</si>
  <si>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</si>
  <si>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</si>
  <si>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</si>
  <si>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</si>
  <si>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</si>
  <si>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</si>
  <si>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</si>
  <si>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</si>
  <si>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</si>
  <si>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</si>
  <si>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</si>
  <si>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</si>
  <si>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</si>
  <si>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</si>
  <si>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</si>
  <si>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</si>
  <si>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</si>
  <si>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</si>
  <si>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</si>
  <si>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</si>
  <si>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</si>
  <si>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</si>
  <si>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</si>
  <si>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</si>
  <si>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</si>
  <si>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</si>
  <si>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</si>
  <si>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</si>
  <si>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</si>
  <si>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</si>
  <si>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</si>
  <si>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ცხრილი 15.1</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</si>
  <si>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</si>
  <si>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</si>
  <si>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</si>
  <si>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</si>
  <si>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</si>
  <si>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</si>
  <si>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</si>
  <si>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</si>
  <si>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</si>
  <si>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</si>
  <si>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</si>
  <si>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</si>
  <si>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</si>
  <si>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</si>
  <si>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</si>
  <si>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</si>
  <si>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</si>
  <si>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</si>
  <si>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</si>
  <si>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</si>
  <si>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</si>
  <si>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</si>
  <si>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</si>
  <si>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</si>
  <si>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</si>
  <si>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</si>
  <si>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</si>
  <si>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</si>
  <si>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</si>
  <si>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</si>
  <si>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</si>
  <si>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</si>
  <si>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</si>
  <si>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</si>
  <si>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</si>
  <si>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საკრედიტო გადაფასების კორექტირება</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</si>
  <si>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</si>
  <si>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</si>
  <si>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</si>
  <si>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</si>
  <si>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</si>
  <si>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</si>
  <si>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</si>
  <si>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</si>
  <si>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</si>
  <si>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</si>
  <si>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</si>
  <si>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</si>
  <si>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</si>
  <si>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</si>
  <si>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</si>
  <si>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</si>
  <si>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</si>
  <si>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</si>
  <si>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</si>
  <si>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</si>
  <si>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</si>
  <si>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</si>
  <si>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</si>
  <si>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</si>
  <si>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</si>
  <si>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</si>
  <si>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</si>
  <si>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</si>
  <si>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</si>
  <si>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</si>
  <si>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</si>
  <si>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</si>
  <si>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</si>
  <si>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</si>
  <si>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</si>
  <si>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</si>
  <si>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</si>
  <si>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</si>
  <si>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</si>
  <si>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</si>
  <si>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</si>
  <si>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</si>
  <si>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</si>
  <si>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</si>
  <si>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</si>
  <si>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</si>
  <si>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</si>
  <si>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</si>
  <si>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</si>
  <si>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</si>
  <si>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</si>
  <si>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</si>
  <si>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</si>
  <si>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</si>
  <si>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</si>
  <si>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</si>
  <si>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</si>
  <si>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</si>
  <si>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</si>
  <si>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</si>
  <si>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</si>
  <si>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</si>
  <si>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</si>
  <si>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</si>
  <si>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საბითუმო ლომბარდი</t>
  </si>
  <si>
    <t>უძრავი ქონების დეველოპმენტი</t>
  </si>
  <si>
    <t>იპოთეკური სესხები - დასრულებული საცხოვრებელი უძრავი ქონების შეძენა</t>
  </si>
  <si>
    <t>უძრავი ქონების მენეჯმენტი</t>
  </si>
  <si>
    <t>სამშენებლო კომპანიები (არა დეველოპერები)</t>
  </si>
  <si>
    <t>სამომხმარებლო სესხები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</si>
  <si>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</si>
  <si>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</si>
  <si>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</si>
  <si>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</si>
  <si>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</si>
  <si>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</si>
  <si>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</si>
  <si>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</si>
  <si>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</si>
  <si>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</si>
  <si>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</si>
  <si>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</si>
  <si>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</si>
  <si>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</si>
  <si>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</si>
  <si>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</si>
  <si>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</si>
  <si>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</si>
  <si>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</si>
  <si>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ფულადი გზავნილები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</si>
  <si>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</si>
  <si>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</si>
  <si>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</si>
  <si>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</si>
  <si>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</si>
  <si>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</si>
  <si>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</si>
  <si>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</si>
  <si>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</si>
  <si>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</si>
  <si>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</si>
  <si>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</si>
  <si>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</si>
  <si>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</si>
  <si>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</si>
  <si>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</si>
  <si>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</si>
  <si>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</si>
  <si>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</si>
  <si>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</si>
  <si>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</si>
  <si>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</si>
  <si>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</si>
  <si>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</si>
  <si>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</si>
  <si>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</si>
  <si>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</si>
  <si>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</si>
  <si>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</si>
  <si>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</si>
  <si>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</si>
  <si>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</si>
  <si>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</si>
  <si>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</si>
  <si>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</si>
  <si>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</si>
  <si>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</si>
  <si>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</si>
  <si>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</si>
  <si>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</si>
  <si>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</si>
  <si>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</si>
  <si>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</si>
  <si>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</si>
  <si>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</si>
  <si>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</si>
  <si>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</si>
  <si>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</si>
  <si>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</si>
  <si>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</si>
  <si>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</si>
  <si>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</si>
  <si>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</si>
  <si>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</si>
  <si>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</si>
  <si>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</si>
  <si>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</si>
  <si>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</si>
  <si>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</si>
  <si>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</si>
  <si>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</si>
  <si>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</si>
  <si>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</si>
  <si>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</si>
  <si>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</si>
  <si>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</si>
  <si>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</si>
  <si>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</si>
  <si>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</si>
  <si>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</si>
  <si>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</si>
  <si>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</si>
  <si>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</si>
  <si>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</si>
  <si>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</si>
  <si>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</si>
  <si>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</si>
  <si>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</si>
  <si>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</si>
  <si>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</si>
  <si>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</si>
  <si>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</si>
  <si>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</si>
  <si>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</si>
  <si>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</si>
  <si>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</si>
  <si>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</si>
  <si>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</si>
  <si>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</si>
  <si>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</si>
  <si>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</si>
  <si>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</si>
  <si>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</si>
  <si>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</si>
  <si>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</si>
  <si>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</si>
  <si>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</si>
  <si>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</si>
  <si>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</si>
  <si>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</si>
  <si>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</si>
  <si>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</si>
  <si>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</si>
  <si>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</si>
  <si>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</si>
  <si>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</si>
  <si>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</si>
  <si>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</si>
  <si>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</si>
  <si>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</si>
  <si>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</si>
  <si>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</si>
  <si>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</si>
  <si>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</si>
  <si>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</si>
  <si>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</si>
  <si>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</si>
  <si>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</si>
  <si>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</si>
  <si>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საცხოვრებელი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</si>
  <si>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</si>
  <si>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კომერციული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</si>
  <si>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</si>
  <si>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</si>
  <si>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</si>
  <si>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</si>
  <si>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</si>
  <si>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</si>
  <si>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</si>
  <si>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</si>
  <si>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</si>
  <si>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</si>
  <si>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</si>
  <si>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</si>
  <si>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</si>
  <si>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პენსიის ან სხვა სახელმწიფო სოციალური გასაცემელის გათვალისწინებით გაცემული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</si>
  <si>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</si>
  <si>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</si>
  <si>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რემონტის მიზნობრიობით გაცემული უძრავი ქონებით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</si>
  <si>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</si>
  <si>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 xml:space="preserve">დასრულებული უძრავი ქონების და მიწის შეძენის მიზნობრიობით გაცემული სესხები. </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</si>
  <si>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</si>
  <si>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</si>
  <si>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</si>
  <si>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</si>
  <si>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</si>
  <si>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სამომხმარებლო მიზნობრიობით გაცემული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</si>
  <si>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</si>
  <si>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ცხრილი "26"</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</si>
  <si>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</si>
  <si>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"25"</t>
  </si>
  <si>
    <t>IFRS 9-ის შესაბამისად. არ შედის მოსალოდნელი საკრედიტო ზარალი სესხების აუთვისებელ ნაწილზე</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</si>
  <si>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</si>
  <si>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</si>
  <si>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"24"</t>
  </si>
  <si>
    <t xml:space="preserve">მინიმუმი გარანტიის საბაზრო ღირებულებასა და სესხის მთლიან ღირებულებას შორის. </t>
  </si>
  <si>
    <t>დაგირავებული უძრავი ქონების საბაზრო ღირებულება, შესაბამისი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</si>
  <si>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</si>
  <si>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</si>
  <si>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</si>
  <si>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</si>
  <si>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</si>
  <si>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</si>
  <si>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</si>
  <si>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</si>
  <si>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ცხრილი "23"</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</si>
  <si>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</si>
  <si>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</si>
  <si>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</si>
  <si>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ბანკები და მრავალმხრივი ბანკები.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</si>
  <si>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</si>
  <si>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მთავრობები</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</si>
  <si>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</si>
  <si>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ცხრილი "22"</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</si>
  <si>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</si>
  <si>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</si>
  <si>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</si>
  <si>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</si>
  <si>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</si>
  <si>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</si>
  <si>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 სესხების ბალანსი პერიოდის ბოლოს</t>
  </si>
  <si>
    <t>12</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</si>
  <si>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</si>
  <si>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11</t>
  </si>
  <si>
    <t>სხვა ბალანსის რეკონსილაციისთვის საჭირო გატარებები</t>
  </si>
  <si>
    <t>10</t>
  </si>
  <si>
    <t>უმოქმედოდ კლასიფიცირებული სესხების შემცირება, სესხების გაყიდვის გზით</t>
  </si>
  <si>
    <t>9</t>
  </si>
  <si>
    <t>უმოქმედოდ კლასიფიცირებული სესხების შემცირება, უზრუნველყოფის დასაკუთრების გზით</t>
  </si>
  <si>
    <t>8</t>
  </si>
  <si>
    <t>უმოქმედოდ კლასიფიცირებული სესხების ჩამოწერის გზით</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</si>
  <si>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</si>
  <si>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</si>
  <si>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უმოქმედოდ კლასიფიცირებული სესხების შემცირება, საკრედიტო რისკის დონის შემცირების შედეგად</t>
  </si>
  <si>
    <t>5</t>
  </si>
  <si>
    <t>უმოქმედოდ კლასიფიცირებული სესხების შემცირება</t>
  </si>
  <si>
    <t>4</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</si>
  <si>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</si>
  <si>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საკრედიტო რისკის დონის ზრდის შედეგად</t>
  </si>
  <si>
    <t>უმოქმედო სესხების საწყისი ბალანსი</t>
  </si>
  <si>
    <t>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</si>
  <si>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</si>
  <si>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ცხრილი "21"</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</si>
  <si>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</si>
  <si>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ცხრილი "20"</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</si>
  <si>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</si>
  <si>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</si>
  <si>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</si>
  <si>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ცხრილი "18 -19"</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</si>
  <si>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</si>
  <si>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</si>
  <si>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</si>
  <si>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განმარტებები გვერდებისთვის  "17"</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</si>
  <si>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</si>
  <si>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</si>
  <si>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 xml:space="preserve">აქტივები/სესხები, რომლებზეც არ არის აღრიცხული დაფარვის წყაროს სექტორი </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</si>
  <si>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</si>
  <si>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</si>
  <si>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</si>
  <si>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</si>
  <si>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აფთიაქები და სააფთიაქო ქსელები, წამლების წარმოება, წამლების დისტრიბუცია.</t>
  </si>
  <si>
    <t>საავადმყოფოების, კლინიკების და სხვა სამედიცინო გამაჯანსაღებელი კომპლექსები.</t>
  </si>
  <si>
    <t>ავტომობილებით ვაჭრობა.</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</si>
  <si>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</si>
  <si>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ბენზინის დისტრიბუცია, წარმოება, იმპორტი და ექსპორტი.</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</si>
  <si>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</si>
  <si>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რესტორნები, ბარები, კაფეები, სწრაფი კვების ობიექტები და სხვა.</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</si>
  <si>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</si>
  <si>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სხვა საწარმოები, რომელიც არ არის  წარმოდგენილი ზემოთ აღნიშნულ სექტორებში.</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</si>
  <si>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</si>
  <si>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საბითუმო და საცალო ვაჭრობა, ექსპორტი და იმპორტი: ფეხსაცმელი, ტანსაცმელი, ტექსტილის ნაწარმი და სხვა.</t>
  </si>
  <si>
    <t>მაგალითად, ავეჯი, ელექტრო ტექნიკა, კომპიუტერული ტექნიკა, ციფრული ტექნიკა და სხვა.</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</si>
  <si>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</si>
  <si>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</si>
  <si>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სამშენებლო მასალების მოპოვება, წარმოება ან/და აღნიშნული მასალებით საცალო და საბითუმო ვაჭრობა.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</si>
  <si>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</si>
  <si>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უძრავი ქონების გაქირავება და მასთან დაკავშირებული მომსახურების უზრუნველყოფა.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</si>
  <si>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</si>
  <si>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ძვირფასი ლითონებითა და ქვებით უზრუნველყოფილი ლომბარდული ბიზნეს საქმიანობა.</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</si>
  <si>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</si>
  <si>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</si>
  <si>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</si>
  <si>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უმოქმედო აქტივი/სესხი</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</si>
  <si>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</si>
  <si>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</si>
  <si>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</si>
  <si>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</si>
  <si>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</si>
  <si>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</si>
  <si>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</si>
  <si>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ზოგადი განმარტებები</t>
  </si>
  <si>
    <t>განმარტებები გვერდებისთვის  "17-26"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</si>
  <si>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</si>
  <si>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</si>
  <si>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</si>
  <si>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განმარტებები გვერდისთვის 16. NSFR ცხრილი 16</t>
  </si>
  <si>
    <t>ცხრილში მოთხოვნილი ინფორმაცია შეესაბამება კონტრაჰენტის საკრედიტო რისკის დებულებას.</t>
  </si>
  <si>
    <t>განმარტებები გვერდისთვის 15. CCR, ცხრილი 15</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</si>
  <si>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</si>
  <si>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სხვა გადინება გარდა ზემოაღნიშნულ კატეგორიებში შემავალი მუხლებისა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</si>
  <si>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</si>
  <si>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</si>
  <si>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LCR მიზნებისთვის არსებული უზრუნველყოფილი დაფინანსება (A.2)</t>
  </si>
  <si>
    <t>არაუზრუნველყოფილი დაფინანსება (A.1) გარდა ფიზიკური პირების დეპოზიტებისა</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</si>
  <si>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</si>
  <si>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სვეტები</t>
  </si>
  <si>
    <t>განმარტებები გვერდისათვის " .LCR", ცხრილი 14</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</si>
  <si>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</si>
  <si>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</si>
  <si>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</si>
  <si>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</si>
  <si>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</si>
  <si>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</si>
  <si>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</si>
  <si>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"13. CRME", ცხრილი 13</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</si>
  <si>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</si>
  <si>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</si>
  <si>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</si>
  <si>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</si>
  <si>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</si>
  <si>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</si>
  <si>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განმარტებები გვერდისთვის "12. CRM", ცხრილი 12</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</si>
  <si>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</si>
  <si>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</si>
  <si>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განმარტებები გვერდისთვის "11. CRWA", ცხრილი 11</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</si>
  <si>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</si>
  <si>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</si>
  <si>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</si>
  <si>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</si>
  <si>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კავშირი ცხრილებს შორის</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</si>
  <si>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</si>
  <si>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</si>
  <si>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</si>
  <si>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</si>
  <si>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</si>
  <si>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</si>
  <si>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</si>
  <si>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განმარტებები გვერდისთვის 10. CC2, ცხრილი 10</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</si>
  <si>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</si>
  <si>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</si>
  <si>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განმარტებები გვერდისთვის 9. Capital, ცხრილი 9</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</si>
  <si>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</si>
  <si>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</si>
  <si>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</si>
  <si>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</si>
  <si>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</si>
  <si>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</si>
  <si>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</si>
  <si>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სტრიქონები:</t>
  </si>
  <si>
    <t>განმარტებები გვერდისთვის 8. LI2, ცხრილი 8</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</si>
  <si>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</si>
  <si>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</si>
  <si>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</si>
  <si>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</si>
  <si>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</si>
  <si>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სვეტები: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</si>
  <si>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</si>
  <si>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განმარტებები გვერდისთვის 7. LI1, ცხრილი 7</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</si>
  <si>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</si>
  <si>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6. Administrators-Shareholders, ცხრილი 6</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</si>
  <si>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</si>
  <si>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</si>
  <si>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</si>
  <si>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</si>
  <si>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</si>
  <si>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განმარტებები გვერდისთვის 5. RWA, ცხრილი 5</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</si>
  <si>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</si>
  <si>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</si>
  <si>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</si>
  <si>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</si>
  <si>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</si>
  <si>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</si>
  <si>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</si>
  <si>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</si>
  <si>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</si>
  <si>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</si>
  <si>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</si>
  <si>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</si>
  <si>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</si>
  <si>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</si>
  <si>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</si>
  <si>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</si>
  <si>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</si>
  <si>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</si>
  <si>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</si>
  <si>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</si>
  <si>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</si>
  <si>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განმარტებები გვერდისთვის 4. off-balance, ცხრილი 4</t>
  </si>
  <si>
    <t>ცხრილებში მოთხოვნილი ინფორმაცია მჟღავნდება ფასს-ის მიხედვით</t>
  </si>
  <si>
    <t>განმარტებები გვერდისთვის 2. SOFP, 3. SOPL, ცხრილები 2 და 3</t>
  </si>
  <si>
    <t>წმინდა მოგება – ბანკის მოგება-ზარალის უწყისით გათვალისწინებული წმინდა მოგება;</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</si>
  <si>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</si>
  <si>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</si>
  <si>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</si>
  <si>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</si>
  <si>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</si>
  <si>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</si>
  <si>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</si>
  <si>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</si>
  <si>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</si>
  <si>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მთლიანი სესხები – საბალანსო უწყისით გათვალისწინებული მთლიანი სესხები;</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</si>
  <si>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</si>
  <si>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</si>
  <si>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</si>
  <si>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</si>
  <si>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</si>
  <si>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</si>
  <si>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</si>
  <si>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მთლიანი საპროცენტო ხარჯები – წლიურად გადაანგარიშებული მთლიანი საპროცენტო ხარჯები;</t>
  </si>
  <si>
    <t>მთლიანი საპროცენტო შემოსავლები – წლიურად გადაანგარიშებული მთლიანი საპროცენტო შემოსავლები;</t>
  </si>
  <si>
    <t>სააქციო კაპიტალი – საბალანსო უწყისით გათვალისწინებული სააქციო კაპიტალი;</t>
  </si>
  <si>
    <t>მთლიანი ვალდებულებები – საბალანსო უწყისით გათვალისწინებული მთლიანი ვალდებულებები;</t>
  </si>
  <si>
    <t>მთლიანი აქტივები – საბალანსო უწყისით გათვალისწინებული მთლიანი აქტივები;</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</si>
  <si>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</si>
  <si>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</si>
  <si>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</si>
  <si>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(6)-(24) სტრიქონების შესაბამისი მონაცემები უნდა გამოისახოს პროცენტულად.</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</si>
  <si>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</si>
  <si>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განმარტებები გვერდისთვის 1. Key Ratios, ცხრილი 1</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</si>
  <si>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</si>
  <si>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</si>
  <si>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ბაზელ III-ზე დაფუძნებული ჩარჩოს მიხედვით </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</si>
  <si>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</si>
  <si>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</si>
  <si>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t>მოსალოდნელი საკრედიტო ზარალი/ მთლიან სესხებთან</t>
  </si>
  <si>
    <t>საბალანსო ელემენტები</t>
  </si>
  <si>
    <t xml:space="preserve">სხვა კორექტირებების ეფექტი (ასეთის არსებობის შემთხვევაში) </t>
  </si>
  <si>
    <t>კონტრაჰენტის საკრედიტო რისკის დებულებით განსაზღვრული რისკის პოზიციები</t>
  </si>
  <si>
    <t xml:space="preserve"> ცხრილი 9 (Capital), N2</t>
  </si>
  <si>
    <t xml:space="preserve"> ცხრილი 9 (Capital), N38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</si>
</sst>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409]mmm\-yy;@"/>
    <numFmt numFmtId="165" formatCode="#,##0_ ;[Red]\-#,##0\ "/>
    <numFmt numFmtId="166" formatCode="0.0%"/>
    <numFmt numFmtId="167" formatCode="_(* #,##0_);_(* \(#,##0\);_(* &quot;-&quot;??_);_(@_)"/>
    <numFmt numFmtId="168" formatCode="_(* #,##0.0_);_(* \(#,##0.0\);_(* &quot;-&quot;??_);_(@_)"/>
    <numFmt numFmtId="169" formatCode="_(#,##0_);_(\(#,##0\);_(\ \-\ _);_(@_)"/>
    <numFmt numFmtId="170" formatCode="_-* #,##0\ _€_-;\-* #,##0\ _€_-;_-* &quot;-&quot;??\ _€_-;_-@_-"/>
    <numFmt numFmtId="171" formatCode="#,##0.0"/>
    <numFmt numFmtId="172" formatCode="_(* #,##0.0_);_(* \(#,##0.0\);_(* &quot;-&quot;?_);_(@_)"/>
    <numFmt numFmtId="173" formatCode="_-* #,##0.00_-;\-* #,##0.00_-;_-* &quot;-&quot;??_-;_-@_-"/>
  </numFmts>
  <fonts count="9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ptos Narrow"/>
      <family val="2"/>
      <scheme val="minor"/>
    </font>
    <font>
      <sz val="10"/>
      <name val="Arial"/>
      <family val="2"/>
    </font>
    <font>
      <b/>
      <sz val="11"/>
      <name val="Sylfaen"/>
      <family val="1"/>
    </font>
    <font>
      <sz val="10"/>
      <color theme="1"/>
      <name val="Sylfaen"/>
      <family val="1"/>
    </font>
    <font>
      <sz val="10"/>
      <name val="Aptos Narrow"/>
      <family val="2"/>
      <scheme val="minor"/>
    </font>
    <font>
      <sz val="10"/>
      <name val="Sylfaen"/>
      <family val="1"/>
    </font>
    <font>
      <sz val="11"/>
      <color theme="1"/>
      <name val="Sylfaen"/>
      <family val="1"/>
    </font>
    <font>
      <u/>
      <sz val="10"/>
      <color indexed="12"/>
      <name val="Arial"/>
      <family val="2"/>
    </font>
    <font>
      <b/>
      <i/>
      <sz val="10"/>
      <color theme="1"/>
      <name val="Sylfaen"/>
      <family val="1"/>
    </font>
    <font>
      <sz val="10"/>
      <color theme="1"/>
      <name val="Aptos Narrow"/>
      <family val="1"/>
      <scheme val="minor"/>
    </font>
    <font>
      <b/>
      <sz val="10"/>
      <name val="Sylfaen"/>
      <family val="1"/>
    </font>
    <font>
      <b/>
      <i/>
      <sz val="10"/>
      <color theme="1"/>
      <name val="Aptos Narrow"/>
      <family val="2"/>
      <scheme val="minor"/>
    </font>
    <font>
      <b/>
      <sz val="10"/>
      <name val="Aptos Narrow"/>
      <family val="2"/>
      <scheme val="minor"/>
    </font>
    <font>
      <sz val="10"/>
      <name val="MS Sans Serif"/>
      <family val="2"/>
    </font>
    <font>
      <b/>
      <i/>
      <sz val="10"/>
      <name val="Aptos Narrow"/>
      <family val="2"/>
      <scheme val="minor"/>
    </font>
    <font>
      <sz val="10"/>
      <color rgb="FF333333"/>
      <name val="Sylfaen"/>
      <family val="1"/>
    </font>
    <font>
      <sz val="10"/>
      <color rgb="FFFF0000"/>
      <name val="Aptos Narrow"/>
      <family val="2"/>
      <scheme val="minor"/>
    </font>
    <font>
      <b/>
      <sz val="12"/>
      <color theme="1"/>
      <name val="Aptos Narrow"/>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Aptos Narrow"/>
      <family val="2"/>
      <scheme val="minor"/>
    </font>
    <font>
      <b/>
      <sz val="8"/>
      <color rgb="FF000000"/>
      <name val="Verdana"/>
      <family val="2"/>
    </font>
    <font>
      <b/>
      <sz val="11"/>
      <color rgb="FFFF0000"/>
      <name val="Aptos Narrow"/>
      <family val="2"/>
      <scheme val="minor"/>
    </font>
    <font>
      <sz val="11"/>
      <name val="Aptos Narrow"/>
      <family val="2"/>
      <charset val="204"/>
      <scheme val="minor"/>
    </font>
    <font>
      <i/>
      <sz val="11"/>
      <name val="Aptos Narrow"/>
      <family val="2"/>
      <scheme val="minor"/>
    </font>
    <font>
      <i/>
      <sz val="11"/>
      <name val="Aptos Narrow"/>
      <family val="2"/>
      <charset val="204"/>
      <scheme val="minor"/>
    </font>
    <font>
      <sz val="8"/>
      <color theme="1"/>
      <name val="Aptos Narrow"/>
      <family val="2"/>
      <scheme val="minor"/>
    </font>
    <font>
      <b/>
      <sz val="10"/>
      <color theme="1"/>
      <name val="Aptos Narrow"/>
      <family val="2"/>
      <scheme val="minor"/>
    </font>
    <font>
      <i/>
      <sz val="10"/>
      <name val="Sylfaen"/>
      <family val="1"/>
    </font>
    <font>
      <sz val="10"/>
      <color theme="1"/>
      <name val="Segoe UI"/>
      <family val="2"/>
    </font>
    <font>
      <sz val="10"/>
      <color theme="1"/>
      <name val="Times New Roman"/>
      <family val="1"/>
    </font>
    <font>
      <sz val="10"/>
      <name val="Arial"/>
      <family val="2"/>
      <charset val="204"/>
    </font>
    <font>
      <sz val="10"/>
      <name val="Geo_Arial"/>
      <family val="2"/>
    </font>
    <font>
      <sz val="10"/>
      <color rgb="FFFF0000"/>
      <name val="Sylfaen"/>
      <family val="1"/>
    </font>
    <font>
      <sz val="8"/>
      <name val="Sylfaen"/>
      <family val="1"/>
    </font>
    <font>
      <b/>
      <sz val="10"/>
      <color rgb="FFFF0000"/>
      <name val="Aptos Narrow"/>
      <family val="2"/>
      <scheme val="minor"/>
    </font>
    <font>
      <b/>
      <sz val="10"/>
      <name val="Aptos Narrow"/>
      <family val="1"/>
      <scheme val="minor"/>
    </font>
    <font>
      <sz val="10"/>
      <name val="Aptos Narrow"/>
      <family val="1"/>
      <scheme val="minor"/>
    </font>
    <font>
      <b/>
      <u/>
      <sz val="10"/>
      <name val="Aptos Narrow"/>
      <family val="2"/>
      <scheme val="minor"/>
    </font>
    <font>
      <i/>
      <sz val="10"/>
      <color theme="0" tint="-0.499984740745262"/>
      <name val="Aptos Narrow"/>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Aptos Narrow"/>
      <family val="2"/>
      <scheme val="minor"/>
    </font>
    <font>
      <i/>
      <vertAlign val="superscript"/>
      <sz val="9"/>
      <name val="Aptos Narrow"/>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0"/>
      <color theme="1"/>
      <name val="Sylfaen"/>
      <family val="1"/>
    </font>
    <font>
      <i/>
      <sz val="10"/>
      <color theme="1"/>
      <name val="Sylfaen"/>
      <family val="1"/>
    </font>
    <font>
      <i/>
      <sz val="11"/>
      <color theme="1"/>
      <name val="Aptos Narrow"/>
      <family val="2"/>
      <scheme val="minor"/>
    </font>
    <font>
      <b/>
      <sz val="10"/>
      <color rgb="FFFF0000"/>
      <name val="Sylfaen"/>
      <family val="1"/>
    </font>
    <font>
      <sz val="10"/>
      <name val="SPKolheti"/>
      <family val="1"/>
    </font>
    <font>
      <sz val="9"/>
      <color theme="1"/>
      <name val="Aptos Narrow"/>
      <family val="2"/>
      <scheme val="minor"/>
    </font>
    <font>
      <i/>
      <sz val="10"/>
      <color theme="1"/>
      <name val="Aptos Narrow"/>
      <family val="2"/>
      <scheme val="minor"/>
    </font>
    <font>
      <b/>
      <sz val="11"/>
      <name val="Aptos Narrow"/>
      <family val="2"/>
      <scheme val="minor"/>
    </font>
    <font>
      <sz val="11"/>
      <name val="Aptos Narrow"/>
      <family val="2"/>
      <scheme val="minor"/>
    </font>
    <font>
      <sz val="11"/>
      <name val="Calibri"/>
      <family val="2"/>
    </font>
    <font>
      <b/>
      <i/>
      <sz val="11"/>
      <name val="Aptos Narrow"/>
      <family val="2"/>
      <scheme val="minor"/>
    </font>
    <font>
      <b/>
      <sz val="9"/>
      <color indexed="81"/>
      <name val="Tahoma"/>
      <family val="2"/>
    </font>
    <font>
      <sz val="9"/>
      <color indexed="81"/>
      <name val="Tahoma"/>
      <family val="2"/>
    </font>
    <font>
      <b/>
      <sz val="9"/>
      <name val="Arial"/>
      <family val="2"/>
    </font>
    <font>
      <b/>
      <sz val="10"/>
      <name val="Arial"/>
      <family val="2"/>
    </font>
    <font>
      <sz val="9"/>
      <name val="Arial"/>
      <family val="2"/>
    </font>
    <font>
      <sz val="9"/>
      <name val="Calibri"/>
      <family val="2"/>
    </font>
    <font>
      <b/>
      <sz val="9"/>
      <name val="Calibri"/>
      <family val="2"/>
    </font>
    <font>
      <sz val="11"/>
      <color indexed="8"/>
      <name val="Calibri"/>
      <family val="2"/>
    </font>
    <font>
      <sz val="8"/>
      <name val="Arial"/>
      <family val="2"/>
    </font>
    <font>
      <u/>
      <sz val="11"/>
      <name val="Aptos Narrow"/>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Aptos Narrow"/>
      <family val="1"/>
      <scheme val="minor"/>
    </font>
    <font>
      <sz val="9"/>
      <color rgb="FFFF0000"/>
      <name val="Sylfaen"/>
      <family val="1"/>
    </font>
    <font>
      <i/>
      <sz val="9"/>
      <name val="Aptos Narrow"/>
      <family val="1"/>
      <scheme val="minor"/>
    </font>
    <font>
      <b/>
      <sz val="9"/>
      <name val="Aptos Narrow"/>
      <family val="1"/>
      <scheme val="minor"/>
    </font>
    <font>
      <b/>
      <sz val="9"/>
      <color rgb="FFFF0000"/>
      <name val="Sylfaen"/>
      <family val="1"/>
    </font>
    <font>
      <sz val="10"/>
      <color rgb="FF000000"/>
      <name val="Aptos Narrow"/>
      <family val="2"/>
      <scheme val="minor"/>
    </font>
    <font>
      <b/>
      <u/>
      <sz val="9"/>
      <color theme="1"/>
      <name val="Sylfaen"/>
      <family val="1"/>
    </font>
    <font>
      <sz val="9"/>
      <color rgb="FFFF0000"/>
      <name val="Aptos Narrow"/>
      <family val="1"/>
      <scheme val="minor"/>
    </font>
    <font>
      <sz val="9"/>
      <color theme="1"/>
      <name val="Aptos Narrow"/>
      <family val="1"/>
      <scheme val="minor"/>
    </font>
    <font>
      <b/>
      <sz val="8"/>
      <name val="Sylfaen"/>
      <family val="1"/>
    </font>
    <font>
      <sz val="9"/>
      <color rgb="FF000000"/>
      <name val="Sylfaen"/>
      <family val="1"/>
    </font>
    <font>
      <sz val="8"/>
      <color theme="1"/>
      <name val="Sylfaen"/>
      <family val="1"/>
    </font>
    <font>
      <u/>
      <sz val="8"/>
      <name val="Sylfaen"/>
      <family val="1"/>
    </font>
    <font>
      <sz val="8"/>
      <color rgb="FFFF0000"/>
      <name val="Sylfaen"/>
      <family val="1"/>
    </font>
    <font>
      <b/>
      <i/>
      <u/>
      <sz val="8"/>
      <name val="Sylfaen"/>
      <family val="1"/>
    </font>
    <font>
      <sz val="8"/>
      <name val="Calibri"/>
      <family val="2"/>
    </font>
  </fonts>
  <fills count="19">
    <fill>
      <patternFill patternType="none"/>
    </fill>
    <fill>
      <patternFill patternType="gray125"/>
    </fill>
    <fill>
      <patternFill patternType="solid">
        <fgColor theme="0"/>
        <bgColor indexed="64"/>
      </patternFill>
    </fill>
    <fill>
      <patternFill patternType="lightGray">
        <fgColor indexed="22"/>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4"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style="thin">
        <color theme="1" tint="0.34998626667073579"/>
      </left>
      <right/>
      <top style="thin">
        <color theme="1" tint="0.34998626667073579"/>
      </top>
      <bottom style="double">
        <color theme="1" tint="0.34998626667073579"/>
      </bottom>
      <diagonal/>
    </border>
    <border>
      <left style="thin">
        <color indexed="64"/>
      </left>
      <right style="thin">
        <color indexed="64"/>
      </right>
      <top style="thin">
        <color indexed="64"/>
      </top>
      <bottom style="double">
        <color indexed="64"/>
      </bottom>
      <diagonal/>
    </border>
    <border>
      <left/>
      <right style="thin">
        <color theme="1" tint="0.34998626667073579"/>
      </right>
      <top/>
      <bottom style="double">
        <color indexed="64"/>
      </bottom>
      <diagonal/>
    </border>
    <border>
      <left/>
      <right/>
      <top/>
      <bottom style="double">
        <color indexed="64"/>
      </bottom>
      <diagonal/>
    </border>
    <border>
      <left style="thin">
        <color theme="1" tint="0.34998626667073579"/>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theme="1" tint="0.34998626667073579"/>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style="thin">
        <color theme="1" tint="0.34998626667073579"/>
      </left>
      <right/>
      <top style="double">
        <color theme="1" tint="0.34998626667073579"/>
      </top>
      <bottom style="medium">
        <color theme="1" tint="0.34998626667073579"/>
      </bottom>
      <diagonal/>
    </border>
    <border>
      <left/>
      <right style="medium">
        <color indexed="64"/>
      </right>
      <top style="medium">
        <color indexed="64"/>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5" fillId="0" borderId="0"/>
    <xf numFmtId="164" fontId="17" fillId="3" borderId="0"/>
    <xf numFmtId="0" fontId="5" fillId="0" borderId="0"/>
    <xf numFmtId="0" fontId="37" fillId="0" borderId="0"/>
    <xf numFmtId="0" fontId="37"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1" fillId="0" borderId="0"/>
    <xf numFmtId="0" fontId="1" fillId="0" borderId="0"/>
    <xf numFmtId="0" fontId="5" fillId="0" borderId="0"/>
    <xf numFmtId="0" fontId="5" fillId="0" borderId="0">
      <alignment vertical="center"/>
    </xf>
    <xf numFmtId="43" fontId="5" fillId="0" borderId="0" applyFont="0" applyFill="0" applyBorder="0" applyAlignment="0" applyProtection="0"/>
    <xf numFmtId="43" fontId="75" fillId="0" borderId="0" applyFont="0" applyFill="0" applyBorder="0" applyAlignment="0" applyProtection="0"/>
    <xf numFmtId="0" fontId="5" fillId="0" borderId="0"/>
    <xf numFmtId="173" fontId="1" fillId="0" borderId="0" applyFont="0" applyFill="0" applyBorder="0" applyAlignment="0" applyProtection="0"/>
    <xf numFmtId="0" fontId="5" fillId="0" borderId="0"/>
  </cellStyleXfs>
  <cellXfs count="993">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1" xfId="3" applyBorder="1" applyAlignment="1" applyProtection="1"/>
    <xf numFmtId="0" fontId="12" fillId="0" borderId="0" xfId="0" applyFont="1" applyAlignment="1">
      <alignment wrapText="1"/>
    </xf>
    <xf numFmtId="0" fontId="8" fillId="2" borderId="1" xfId="4" applyFont="1" applyFill="1" applyBorder="1"/>
    <xf numFmtId="0" fontId="11" fillId="0" borderId="1" xfId="3" applyFill="1" applyBorder="1" applyAlignment="1" applyProtection="1"/>
    <xf numFmtId="0" fontId="11" fillId="0" borderId="1" xfId="3" applyFill="1"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1" fillId="0" borderId="1" xfId="3" applyFill="1" applyBorder="1" applyAlignment="1" applyProtection="1">
      <alignment horizontal="left" vertical="center"/>
    </xf>
    <xf numFmtId="0" fontId="11" fillId="0" borderId="1" xfId="3" applyFill="1" applyBorder="1" applyAlignment="1" applyProtection="1">
      <alignment vertical="top" wrapText="1"/>
    </xf>
    <xf numFmtId="0" fontId="11" fillId="0" borderId="1" xfId="3" applyFill="1" applyBorder="1" applyAlignment="1" applyProtection="1">
      <alignment horizontal="left" vertical="top" wrapText="1"/>
    </xf>
    <xf numFmtId="0" fontId="4" fillId="0" borderId="0" xfId="0" applyFont="1"/>
    <xf numFmtId="0" fontId="9" fillId="0" borderId="0" xfId="5" applyFont="1"/>
    <xf numFmtId="43" fontId="8" fillId="0" borderId="0" xfId="1" applyFont="1"/>
    <xf numFmtId="0" fontId="8" fillId="0" borderId="0" xfId="0" applyFont="1"/>
    <xf numFmtId="14" fontId="4" fillId="0" borderId="0" xfId="0" applyNumberFormat="1" applyFont="1" applyAlignment="1">
      <alignment horizontal="left"/>
    </xf>
    <xf numFmtId="0" fontId="9" fillId="0" borderId="5" xfId="0" applyFont="1" applyBorder="1"/>
    <xf numFmtId="0" fontId="14" fillId="0" borderId="5" xfId="0" applyFont="1" applyBorder="1" applyAlignment="1">
      <alignment horizontal="center"/>
    </xf>
    <xf numFmtId="0" fontId="9" fillId="0" borderId="9" xfId="0" applyFont="1" applyBorder="1" applyAlignment="1">
      <alignment horizontal="right" vertical="center" wrapText="1"/>
    </xf>
    <xf numFmtId="0" fontId="8" fillId="0" borderId="10" xfId="0" applyFont="1" applyBorder="1" applyAlignment="1">
      <alignment vertical="center" wrapText="1"/>
    </xf>
    <xf numFmtId="0" fontId="9"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left" vertical="center" wrapText="1"/>
    </xf>
    <xf numFmtId="0" fontId="9" fillId="0" borderId="13"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4" fillId="0" borderId="17" xfId="0" applyNumberFormat="1" applyFont="1" applyBorder="1" applyAlignment="1" applyProtection="1">
      <alignment vertical="center" wrapText="1"/>
      <protection locked="0"/>
    </xf>
    <xf numFmtId="165" fontId="0" fillId="0" borderId="0" xfId="0" applyNumberFormat="1"/>
    <xf numFmtId="165" fontId="8" fillId="0" borderId="1" xfId="0" applyNumberFormat="1" applyFont="1" applyBorder="1" applyAlignment="1" applyProtection="1">
      <alignment horizontal="right" vertical="center" wrapText="1"/>
      <protection locked="0"/>
    </xf>
    <xf numFmtId="10" fontId="4" fillId="0" borderId="1" xfId="2" applyNumberFormat="1" applyFont="1" applyFill="1" applyBorder="1" applyAlignment="1" applyProtection="1">
      <alignment horizontal="right" vertical="center" wrapText="1"/>
      <protection locked="0"/>
    </xf>
    <xf numFmtId="10" fontId="4" fillId="0" borderId="1" xfId="2" applyNumberFormat="1" applyFont="1" applyBorder="1" applyAlignment="1" applyProtection="1">
      <alignment vertical="center" wrapText="1"/>
      <protection locked="0"/>
    </xf>
    <xf numFmtId="0" fontId="9" fillId="4" borderId="13" xfId="0" applyFont="1" applyFill="1" applyBorder="1" applyAlignment="1">
      <alignment horizontal="right" vertical="center"/>
    </xf>
    <xf numFmtId="0" fontId="9" fillId="4" borderId="1" xfId="0" applyFont="1" applyFill="1" applyBorder="1" applyAlignment="1">
      <alignment vertical="center"/>
    </xf>
    <xf numFmtId="166" fontId="0" fillId="0" borderId="0" xfId="2" applyNumberFormat="1" applyFont="1"/>
    <xf numFmtId="165" fontId="9" fillId="4" borderId="1" xfId="0" applyNumberFormat="1" applyFont="1" applyFill="1" applyBorder="1" applyAlignment="1" applyProtection="1">
      <alignment vertical="center"/>
      <protection locked="0"/>
    </xf>
    <xf numFmtId="0" fontId="16" fillId="0" borderId="13" xfId="0" applyFont="1" applyBorder="1" applyAlignment="1">
      <alignment horizontal="center" vertical="center" wrapText="1"/>
    </xf>
    <xf numFmtId="0" fontId="9" fillId="0" borderId="1" xfId="0" applyFont="1" applyBorder="1" applyAlignment="1">
      <alignment horizontal="left" vertical="center" wrapText="1"/>
    </xf>
    <xf numFmtId="0" fontId="9" fillId="4" borderId="19" xfId="0" applyFont="1" applyFill="1" applyBorder="1" applyAlignment="1">
      <alignment horizontal="right" vertical="center"/>
    </xf>
    <xf numFmtId="0" fontId="9" fillId="4" borderId="2" xfId="0" applyFont="1" applyFill="1" applyBorder="1" applyAlignment="1">
      <alignment vertical="center"/>
    </xf>
    <xf numFmtId="0" fontId="9" fillId="4" borderId="21" xfId="0" applyFont="1" applyFill="1" applyBorder="1" applyAlignment="1">
      <alignment horizontal="right" vertical="center"/>
    </xf>
    <xf numFmtId="165" fontId="9" fillId="4" borderId="22" xfId="0" applyNumberFormat="1" applyFont="1" applyFill="1" applyBorder="1" applyAlignment="1" applyProtection="1">
      <alignment vertical="center"/>
      <protection locked="0"/>
    </xf>
    <xf numFmtId="0" fontId="9" fillId="0" borderId="0" xfId="0" applyFont="1" applyAlignment="1">
      <alignment horizontal="right"/>
    </xf>
    <xf numFmtId="0" fontId="9" fillId="0" borderId="0" xfId="0" applyFont="1"/>
    <xf numFmtId="0" fontId="4" fillId="0" borderId="0" xfId="0" applyFont="1" applyAlignment="1">
      <alignment wrapText="1"/>
    </xf>
    <xf numFmtId="167" fontId="8" fillId="0" borderId="0" xfId="1" applyNumberFormat="1" applyFont="1"/>
    <xf numFmtId="167" fontId="4" fillId="0" borderId="0" xfId="1" applyNumberFormat="1" applyFont="1"/>
    <xf numFmtId="167" fontId="0" fillId="0" borderId="0" xfId="1" applyNumberFormat="1" applyFont="1"/>
    <xf numFmtId="0" fontId="0" fillId="0" borderId="1" xfId="0" applyBorder="1" applyAlignment="1">
      <alignment horizontal="center" vertical="center"/>
    </xf>
    <xf numFmtId="167" fontId="0" fillId="0" borderId="0" xfId="0" applyNumberFormat="1"/>
    <xf numFmtId="167" fontId="9"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167" fontId="0" fillId="0" borderId="6" xfId="1" applyNumberFormat="1" applyFont="1" applyBorder="1" applyAlignment="1"/>
    <xf numFmtId="167" fontId="0" fillId="0" borderId="7" xfId="1" applyNumberFormat="1" applyFont="1" applyBorder="1" applyAlignment="1"/>
    <xf numFmtId="167" fontId="0" fillId="0" borderId="8" xfId="1" applyNumberFormat="1" applyFont="1" applyBorder="1" applyAlignment="1"/>
    <xf numFmtId="0" fontId="3" fillId="0" borderId="0" xfId="0" applyFont="1"/>
    <xf numFmtId="0" fontId="0" fillId="0" borderId="1" xfId="0" applyBorder="1" applyAlignment="1">
      <alignment horizontal="center"/>
    </xf>
    <xf numFmtId="0" fontId="22" fillId="2" borderId="1" xfId="7" applyFont="1" applyFill="1" applyBorder="1" applyAlignment="1">
      <alignment horizontal="left" vertical="center" wrapText="1"/>
    </xf>
    <xf numFmtId="167" fontId="4" fillId="0" borderId="1" xfId="1" applyNumberFormat="1" applyFont="1" applyBorder="1"/>
    <xf numFmtId="167" fontId="4" fillId="5" borderId="1" xfId="1" applyNumberFormat="1" applyFont="1" applyFill="1" applyBorder="1"/>
    <xf numFmtId="0" fontId="23" fillId="0" borderId="1" xfId="7" applyFont="1" applyBorder="1" applyAlignment="1">
      <alignment horizontal="left" vertical="center" wrapText="1" indent="1"/>
    </xf>
    <xf numFmtId="167" fontId="4" fillId="0" borderId="1" xfId="1" applyNumberFormat="1" applyFont="1" applyFill="1" applyBorder="1"/>
    <xf numFmtId="0" fontId="24" fillId="2" borderId="1" xfId="7" applyFont="1" applyFill="1" applyBorder="1" applyAlignment="1">
      <alignment horizontal="left" vertical="center" wrapText="1"/>
    </xf>
    <xf numFmtId="0" fontId="23" fillId="2" borderId="1" xfId="7" applyFont="1" applyFill="1" applyBorder="1" applyAlignment="1">
      <alignment horizontal="left" vertical="center" wrapText="1" indent="1"/>
    </xf>
    <xf numFmtId="0" fontId="22" fillId="0" borderId="25" xfId="0" applyFont="1" applyBorder="1" applyAlignment="1">
      <alignment horizontal="left" vertical="center" wrapText="1"/>
    </xf>
    <xf numFmtId="0" fontId="24" fillId="0" borderId="25" xfId="0" applyFont="1" applyBorder="1" applyAlignment="1">
      <alignment horizontal="left" vertical="center" wrapText="1"/>
    </xf>
    <xf numFmtId="167" fontId="4" fillId="0" borderId="1" xfId="1" applyNumberFormat="1" applyFont="1" applyBorder="1" applyAlignment="1">
      <alignment vertical="center"/>
    </xf>
    <xf numFmtId="167" fontId="4" fillId="5" borderId="1" xfId="1" applyNumberFormat="1" applyFont="1" applyFill="1" applyBorder="1" applyAlignment="1">
      <alignment vertical="center"/>
    </xf>
    <xf numFmtId="0" fontId="25" fillId="2" borderId="25" xfId="0" applyFont="1" applyFill="1" applyBorder="1" applyAlignment="1">
      <alignment horizontal="left" vertical="center" wrapText="1" indent="1"/>
    </xf>
    <xf numFmtId="0" fontId="24" fillId="2" borderId="25" xfId="0" applyFont="1" applyFill="1" applyBorder="1" applyAlignment="1">
      <alignment vertical="top" wrapText="1"/>
    </xf>
    <xf numFmtId="0" fontId="24" fillId="2" borderId="26" xfId="0" applyFont="1" applyFill="1" applyBorder="1" applyAlignment="1">
      <alignment horizontal="left" vertical="center" wrapText="1"/>
    </xf>
    <xf numFmtId="0" fontId="25" fillId="0" borderId="25" xfId="0" applyFont="1" applyBorder="1" applyAlignment="1">
      <alignment horizontal="left" vertical="center" wrapText="1" indent="1"/>
    </xf>
    <xf numFmtId="0" fontId="25" fillId="0" borderId="1" xfId="7" applyFont="1" applyBorder="1" applyAlignment="1">
      <alignment horizontal="left" vertical="center" wrapText="1" indent="1"/>
    </xf>
    <xf numFmtId="0" fontId="24" fillId="0" borderId="1" xfId="7" applyFont="1" applyBorder="1" applyAlignment="1">
      <alignment horizontal="left" vertical="center" wrapText="1"/>
    </xf>
    <xf numFmtId="0" fontId="26" fillId="0" borderId="1" xfId="7" applyFont="1" applyBorder="1" applyAlignment="1">
      <alignment horizontal="center" vertical="center" wrapText="1"/>
    </xf>
    <xf numFmtId="167" fontId="4" fillId="0" borderId="6" xfId="1" applyNumberFormat="1" applyFont="1" applyBorder="1" applyAlignment="1"/>
    <xf numFmtId="167" fontId="4" fillId="0" borderId="7" xfId="1" applyNumberFormat="1" applyFont="1" applyBorder="1" applyAlignment="1"/>
    <xf numFmtId="167" fontId="4" fillId="0" borderId="7" xfId="1" applyNumberFormat="1" applyFont="1" applyBorder="1" applyAlignment="1">
      <alignment horizontal="center"/>
    </xf>
    <xf numFmtId="167" fontId="4" fillId="0" borderId="8" xfId="1" applyNumberFormat="1" applyFont="1" applyBorder="1" applyAlignment="1"/>
    <xf numFmtId="0" fontId="24" fillId="2" borderId="27" xfId="0" applyFont="1" applyFill="1" applyBorder="1" applyAlignment="1">
      <alignment horizontal="left" vertical="center" wrapText="1"/>
    </xf>
    <xf numFmtId="0" fontId="24" fillId="2" borderId="25" xfId="0" applyFont="1" applyFill="1" applyBorder="1" applyAlignment="1">
      <alignment horizontal="left" vertical="center" wrapText="1"/>
    </xf>
    <xf numFmtId="43" fontId="0" fillId="0" borderId="0" xfId="0" applyNumberFormat="1"/>
    <xf numFmtId="0" fontId="23" fillId="2" borderId="25" xfId="0" applyFont="1" applyFill="1" applyBorder="1" applyAlignment="1">
      <alignment horizontal="left" vertical="center" wrapText="1" indent="1"/>
    </xf>
    <xf numFmtId="0" fontId="23" fillId="0" borderId="25" xfId="0" applyFont="1" applyBorder="1" applyAlignment="1">
      <alignment horizontal="left" vertical="center" wrapText="1" indent="1"/>
    </xf>
    <xf numFmtId="0" fontId="23" fillId="0" borderId="26" xfId="0" applyFont="1" applyBorder="1" applyAlignment="1">
      <alignment horizontal="left" vertical="center" wrapText="1" indent="1"/>
    </xf>
    <xf numFmtId="0" fontId="2" fillId="0" borderId="0" xfId="0" applyFont="1" applyAlignment="1">
      <alignment horizontal="right"/>
    </xf>
    <xf numFmtId="0" fontId="27" fillId="0" borderId="1" xfId="0" applyFont="1" applyBorder="1" applyAlignment="1">
      <alignment horizontal="left"/>
    </xf>
    <xf numFmtId="0" fontId="24"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9" fillId="0" borderId="1" xfId="0" applyFont="1" applyBorder="1" applyAlignment="1">
      <alignment horizontal="center" vertical="center" wrapText="1"/>
    </xf>
    <xf numFmtId="0" fontId="24" fillId="0" borderId="30" xfId="0" applyFont="1" applyBorder="1" applyAlignment="1">
      <alignment horizontal="justify" vertical="center" wrapText="1"/>
    </xf>
    <xf numFmtId="43" fontId="0" fillId="0" borderId="1" xfId="1" applyFont="1" applyBorder="1"/>
    <xf numFmtId="43" fontId="0" fillId="5" borderId="1" xfId="1" applyFont="1" applyFill="1" applyBorder="1"/>
    <xf numFmtId="167" fontId="28" fillId="6" borderId="0" xfId="1" applyNumberFormat="1" applyFont="1" applyFill="1"/>
    <xf numFmtId="43" fontId="28" fillId="6" borderId="0" xfId="0" applyNumberFormat="1" applyFont="1" applyFill="1"/>
    <xf numFmtId="0" fontId="23" fillId="0" borderId="27" xfId="0" applyFont="1" applyBorder="1" applyAlignment="1">
      <alignment horizontal="left" vertical="center" wrapText="1" indent="1"/>
    </xf>
    <xf numFmtId="0" fontId="24" fillId="0" borderId="25" xfId="0" applyFont="1" applyBorder="1" applyAlignment="1">
      <alignment horizontal="justify" vertical="center" wrapText="1"/>
    </xf>
    <xf numFmtId="167" fontId="28" fillId="6" borderId="0" xfId="0" applyNumberFormat="1" applyFont="1" applyFill="1"/>
    <xf numFmtId="0" fontId="24" fillId="0" borderId="25" xfId="0" applyFont="1" applyBorder="1" applyAlignment="1">
      <alignment vertical="top" wrapText="1"/>
    </xf>
    <xf numFmtId="0" fontId="22" fillId="0" borderId="25" xfId="0" applyFont="1" applyBorder="1" applyAlignment="1">
      <alignment horizontal="justify" vertical="center" wrapText="1"/>
    </xf>
    <xf numFmtId="0" fontId="24" fillId="2" borderId="25" xfId="0" applyFont="1" applyFill="1" applyBorder="1" applyAlignment="1">
      <alignment horizontal="justify" vertical="center" wrapText="1"/>
    </xf>
    <xf numFmtId="167" fontId="0" fillId="0" borderId="1" xfId="1" applyNumberFormat="1" applyFont="1" applyFill="1" applyBorder="1"/>
    <xf numFmtId="167" fontId="0" fillId="0" borderId="1" xfId="1" applyNumberFormat="1" applyFont="1" applyBorder="1"/>
    <xf numFmtId="0" fontId="24" fillId="0" borderId="26" xfId="0" applyFont="1" applyBorder="1" applyAlignment="1">
      <alignment horizontal="justify" vertical="center" wrapText="1"/>
    </xf>
    <xf numFmtId="167" fontId="28" fillId="0" borderId="0" xfId="1" applyNumberFormat="1" applyFont="1" applyFill="1"/>
    <xf numFmtId="43" fontId="28" fillId="0" borderId="0" xfId="0" applyNumberFormat="1" applyFont="1"/>
    <xf numFmtId="0" fontId="24" fillId="0" borderId="27" xfId="0" applyFont="1" applyBorder="1" applyAlignment="1">
      <alignment horizontal="justify" vertical="center" wrapText="1"/>
    </xf>
    <xf numFmtId="167" fontId="0" fillId="5" borderId="1" xfId="1" applyNumberFormat="1" applyFont="1" applyFill="1" applyBorder="1"/>
    <xf numFmtId="0" fontId="24" fillId="0" borderId="1" xfId="7" applyFont="1" applyBorder="1" applyAlignment="1">
      <alignment horizontal="justify" vertical="center" wrapText="1"/>
    </xf>
    <xf numFmtId="0" fontId="25" fillId="0" borderId="31" xfId="0" applyFont="1" applyBorder="1" applyAlignment="1">
      <alignment horizontal="left" vertical="center" wrapText="1" indent="1"/>
    </xf>
    <xf numFmtId="0" fontId="22" fillId="0" borderId="25"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4" fillId="0" borderId="25" xfId="0" applyFont="1" applyBorder="1" applyAlignment="1">
      <alignment vertical="center" wrapText="1"/>
    </xf>
    <xf numFmtId="0" fontId="24" fillId="0" borderId="1" xfId="7" applyFont="1" applyBorder="1" applyAlignment="1">
      <alignment vertical="center" wrapText="1"/>
    </xf>
    <xf numFmtId="0" fontId="14" fillId="0" borderId="24" xfId="0" applyFont="1" applyBorder="1" applyAlignment="1">
      <alignment horizontal="center"/>
    </xf>
    <xf numFmtId="0" fontId="9" fillId="0" borderId="17" xfId="0" applyFont="1" applyBorder="1" applyAlignment="1">
      <alignment horizontal="center" vertical="center" wrapText="1"/>
    </xf>
    <xf numFmtId="0" fontId="16" fillId="0" borderId="1" xfId="0" applyFont="1" applyBorder="1" applyAlignment="1">
      <alignment vertical="center" wrapText="1"/>
    </xf>
    <xf numFmtId="165" fontId="9" fillId="0" borderId="1" xfId="0" applyNumberFormat="1" applyFont="1" applyBorder="1" applyAlignment="1">
      <alignment horizontal="right"/>
    </xf>
    <xf numFmtId="165" fontId="9" fillId="5" borderId="1" xfId="0" applyNumberFormat="1" applyFont="1" applyFill="1" applyBorder="1" applyAlignment="1">
      <alignment horizontal="right"/>
    </xf>
    <xf numFmtId="165" fontId="9" fillId="5" borderId="17" xfId="0" applyNumberFormat="1" applyFont="1" applyFill="1" applyBorder="1" applyAlignment="1">
      <alignment horizontal="right"/>
    </xf>
    <xf numFmtId="0" fontId="8" fillId="0" borderId="1" xfId="0" applyFont="1" applyBorder="1" applyAlignment="1">
      <alignment horizontal="left" vertical="center" wrapText="1" indent="1"/>
    </xf>
    <xf numFmtId="0" fontId="3" fillId="0" borderId="1" xfId="0" applyFont="1" applyBorder="1" applyAlignment="1">
      <alignment vertical="center"/>
    </xf>
    <xf numFmtId="0" fontId="29" fillId="0" borderId="1" xfId="0" applyFont="1" applyBorder="1" applyAlignment="1" applyProtection="1">
      <alignment horizontal="left" vertical="center" indent="1"/>
      <protection locked="0"/>
    </xf>
    <xf numFmtId="0" fontId="30" fillId="0" borderId="1" xfId="0" applyFont="1" applyBorder="1" applyAlignment="1" applyProtection="1">
      <alignment horizontal="left" vertical="center" indent="3"/>
      <protection locked="0"/>
    </xf>
    <xf numFmtId="0" fontId="31" fillId="0" borderId="1" xfId="0" applyFont="1" applyBorder="1" applyAlignment="1" applyProtection="1">
      <alignment horizontal="left" vertical="center" indent="3"/>
      <protection locked="0"/>
    </xf>
    <xf numFmtId="0" fontId="31" fillId="0" borderId="1" xfId="0" applyFont="1" applyBorder="1" applyAlignment="1" applyProtection="1">
      <alignment vertical="top" wrapText="1"/>
      <protection locked="0"/>
    </xf>
    <xf numFmtId="0" fontId="3" fillId="0" borderId="1" xfId="0" applyFont="1" applyBorder="1"/>
    <xf numFmtId="165" fontId="9" fillId="0" borderId="0" xfId="0" applyNumberFormat="1" applyFont="1" applyAlignment="1">
      <alignment horizontal="right"/>
    </xf>
    <xf numFmtId="0" fontId="32" fillId="0" borderId="0" xfId="0" applyFont="1"/>
    <xf numFmtId="0" fontId="4" fillId="0" borderId="5" xfId="0" applyFont="1" applyBorder="1"/>
    <xf numFmtId="0" fontId="33" fillId="0" borderId="5" xfId="0" applyFont="1" applyBorder="1" applyAlignment="1">
      <alignment horizontal="center"/>
    </xf>
    <xf numFmtId="0" fontId="34" fillId="0" borderId="5" xfId="0" applyFont="1" applyBorder="1" applyAlignment="1">
      <alignment horizontal="center"/>
    </xf>
    <xf numFmtId="0" fontId="4" fillId="0" borderId="32" xfId="0" applyFont="1" applyBorder="1" applyAlignment="1">
      <alignment vertical="center" wrapText="1"/>
    </xf>
    <xf numFmtId="0" fontId="33" fillId="0" borderId="11" xfId="0" applyFont="1" applyBorder="1" applyAlignment="1">
      <alignment vertical="center" wrapText="1"/>
    </xf>
    <xf numFmtId="0" fontId="5" fillId="0" borderId="10" xfId="0" applyFont="1" applyBorder="1" applyAlignment="1">
      <alignment horizontal="center" vertical="center" wrapText="1"/>
    </xf>
    <xf numFmtId="0" fontId="35" fillId="0" borderId="13" xfId="0" applyFont="1" applyBorder="1" applyAlignment="1">
      <alignment horizontal="center" vertical="center" wrapText="1"/>
    </xf>
    <xf numFmtId="0" fontId="4" fillId="0" borderId="1" xfId="0" applyFont="1" applyBorder="1" applyAlignment="1">
      <alignment vertical="center" wrapText="1"/>
    </xf>
    <xf numFmtId="3" fontId="36" fillId="5" borderId="1" xfId="0" applyNumberFormat="1" applyFont="1" applyFill="1" applyBorder="1" applyAlignment="1">
      <alignment vertical="center" wrapText="1"/>
    </xf>
    <xf numFmtId="3" fontId="36" fillId="5" borderId="18" xfId="0" applyNumberFormat="1" applyFont="1" applyFill="1" applyBorder="1" applyAlignment="1">
      <alignment vertical="center" wrapText="1"/>
    </xf>
    <xf numFmtId="14" fontId="8" fillId="2" borderId="1" xfId="8" quotePrefix="1" applyNumberFormat="1" applyFont="1" applyFill="1" applyBorder="1" applyAlignment="1" applyProtection="1">
      <alignment horizontal="left" vertical="center" wrapText="1" indent="2"/>
      <protection locked="0"/>
    </xf>
    <xf numFmtId="3" fontId="36" fillId="0" borderId="1" xfId="0" applyNumberFormat="1" applyFont="1" applyBorder="1" applyAlignment="1">
      <alignment vertical="center" wrapText="1"/>
    </xf>
    <xf numFmtId="3" fontId="36" fillId="0" borderId="6" xfId="0" applyNumberFormat="1" applyFont="1" applyBorder="1" applyAlignment="1">
      <alignment vertical="center" wrapText="1"/>
    </xf>
    <xf numFmtId="3" fontId="36" fillId="0" borderId="18"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4" fillId="0" borderId="1" xfId="0" applyFont="1" applyBorder="1" applyAlignment="1">
      <alignment horizontal="left" vertical="center" wrapText="1" indent="2"/>
    </xf>
    <xf numFmtId="0" fontId="35" fillId="0" borderId="21" xfId="0" applyFont="1" applyBorder="1" applyAlignment="1">
      <alignment horizontal="center" vertical="center" wrapText="1"/>
    </xf>
    <xf numFmtId="0" fontId="33" fillId="0" borderId="22" xfId="0" applyFont="1" applyBorder="1" applyAlignment="1">
      <alignment vertical="center" wrapText="1"/>
    </xf>
    <xf numFmtId="3" fontId="36" fillId="5" borderId="22" xfId="0" applyNumberFormat="1" applyFont="1" applyFill="1" applyBorder="1" applyAlignment="1">
      <alignment vertical="center" wrapText="1"/>
    </xf>
    <xf numFmtId="3" fontId="36" fillId="5" borderId="33" xfId="0" applyNumberFormat="1" applyFont="1" applyFill="1" applyBorder="1" applyAlignment="1">
      <alignment vertical="center" wrapText="1"/>
    </xf>
    <xf numFmtId="3" fontId="20" fillId="0" borderId="0" xfId="0" applyNumberFormat="1" applyFont="1"/>
    <xf numFmtId="3" fontId="4" fillId="0" borderId="0" xfId="0" applyNumberFormat="1" applyFont="1"/>
    <xf numFmtId="0" fontId="4" fillId="0" borderId="0" xfId="0" applyFont="1" applyAlignment="1">
      <alignment vertical="top" wrapText="1"/>
    </xf>
    <xf numFmtId="0" fontId="2" fillId="0" borderId="0" xfId="0" applyFont="1"/>
    <xf numFmtId="0" fontId="9" fillId="0" borderId="0" xfId="0" applyFont="1" applyAlignment="1">
      <alignment horizontal="left" wrapText="1"/>
    </xf>
    <xf numFmtId="0" fontId="9" fillId="0" borderId="9" xfId="0" applyFont="1" applyBorder="1"/>
    <xf numFmtId="0" fontId="14" fillId="0" borderId="34" xfId="0" applyFont="1" applyBorder="1" applyAlignment="1">
      <alignment horizontal="center" wrapText="1"/>
    </xf>
    <xf numFmtId="0" fontId="9" fillId="0" borderId="13" xfId="0" applyFont="1" applyBorder="1" applyAlignment="1">
      <alignment vertical="center"/>
    </xf>
    <xf numFmtId="0" fontId="38" fillId="0" borderId="6" xfId="0" applyFont="1" applyBorder="1" applyAlignment="1">
      <alignment wrapText="1"/>
    </xf>
    <xf numFmtId="0" fontId="4" fillId="0" borderId="17" xfId="0" applyFont="1" applyBorder="1"/>
    <xf numFmtId="0" fontId="14" fillId="0" borderId="6" xfId="0" applyFont="1" applyBorder="1" applyAlignment="1">
      <alignment horizontal="center" vertical="center" wrapText="1"/>
    </xf>
    <xf numFmtId="0" fontId="14" fillId="0" borderId="17" xfId="0" applyFont="1" applyBorder="1" applyAlignment="1">
      <alignment horizontal="center" vertical="center" wrapText="1"/>
    </xf>
    <xf numFmtId="0" fontId="9" fillId="0" borderId="6" xfId="0" applyFont="1" applyBorder="1" applyAlignment="1">
      <alignment wrapText="1"/>
    </xf>
    <xf numFmtId="0" fontId="9" fillId="0" borderId="17" xfId="0" applyFont="1" applyBorder="1" applyAlignment="1">
      <alignment wrapText="1"/>
    </xf>
    <xf numFmtId="0" fontId="9" fillId="0" borderId="6" xfId="0" applyFont="1" applyBorder="1" applyAlignment="1">
      <alignment vertical="top" wrapText="1"/>
    </xf>
    <xf numFmtId="0" fontId="9" fillId="0" borderId="18" xfId="0" applyFont="1" applyBorder="1" applyAlignment="1">
      <alignment wrapText="1"/>
    </xf>
    <xf numFmtId="0" fontId="0" fillId="0" borderId="0" xfId="0" applyAlignment="1">
      <alignment wrapText="1"/>
    </xf>
    <xf numFmtId="10" fontId="4" fillId="0" borderId="18" xfId="2" applyNumberFormat="1" applyFont="1" applyBorder="1" applyAlignment="1">
      <alignment horizontal="center"/>
    </xf>
    <xf numFmtId="0" fontId="4" fillId="0" borderId="18" xfId="0" applyFont="1" applyBorder="1"/>
    <xf numFmtId="167" fontId="2" fillId="0" borderId="0" xfId="1" applyNumberFormat="1" applyFont="1"/>
    <xf numFmtId="10" fontId="4" fillId="0" borderId="17" xfId="2" applyNumberFormat="1" applyFont="1" applyBorder="1"/>
    <xf numFmtId="0" fontId="9" fillId="0" borderId="19" xfId="0" applyFont="1" applyBorder="1" applyAlignment="1">
      <alignment vertical="center"/>
    </xf>
    <xf numFmtId="0" fontId="38" fillId="0" borderId="3" xfId="0" applyFont="1" applyBorder="1" applyAlignment="1">
      <alignment wrapText="1"/>
    </xf>
    <xf numFmtId="10" fontId="4" fillId="0" borderId="20" xfId="2" applyNumberFormat="1" applyFont="1" applyBorder="1"/>
    <xf numFmtId="0" fontId="9" fillId="0" borderId="19" xfId="0" applyFont="1" applyBorder="1" applyAlignment="1">
      <alignment horizontal="right" vertical="center"/>
    </xf>
    <xf numFmtId="0" fontId="9" fillId="0" borderId="21" xfId="0" applyFont="1" applyBorder="1"/>
    <xf numFmtId="0" fontId="38" fillId="0" borderId="35" xfId="0" applyFont="1" applyBorder="1" applyAlignment="1">
      <alignment wrapText="1"/>
    </xf>
    <xf numFmtId="0" fontId="4" fillId="0" borderId="23" xfId="0" applyFont="1" applyBorder="1"/>
    <xf numFmtId="0" fontId="39" fillId="0" borderId="0" xfId="5" applyFont="1"/>
    <xf numFmtId="0" fontId="9" fillId="0" borderId="5" xfId="5" applyFont="1" applyBorder="1"/>
    <xf numFmtId="0" fontId="16" fillId="0" borderId="5" xfId="5" applyFont="1" applyBorder="1" applyAlignment="1">
      <alignment horizontal="left" vertical="center"/>
    </xf>
    <xf numFmtId="0" fontId="9" fillId="0" borderId="0" xfId="5" applyFont="1" applyAlignment="1">
      <alignment horizontal="left"/>
    </xf>
    <xf numFmtId="0" fontId="34" fillId="0" borderId="0" xfId="5" applyFont="1" applyAlignment="1">
      <alignment horizontal="right"/>
    </xf>
    <xf numFmtId="0" fontId="8" fillId="0" borderId="9" xfId="5" applyFont="1" applyBorder="1" applyAlignment="1">
      <alignment vertical="center"/>
    </xf>
    <xf numFmtId="0" fontId="8" fillId="0" borderId="10" xfId="5" applyFont="1" applyBorder="1" applyAlignment="1">
      <alignment vertical="center"/>
    </xf>
    <xf numFmtId="0" fontId="16" fillId="0" borderId="10" xfId="5" applyFont="1" applyBorder="1" applyAlignment="1">
      <alignment horizontal="center" vertical="center"/>
    </xf>
    <xf numFmtId="0" fontId="16" fillId="0" borderId="24" xfId="5" applyFont="1" applyBorder="1" applyAlignment="1">
      <alignment horizontal="center" vertical="center"/>
    </xf>
    <xf numFmtId="0" fontId="20" fillId="0" borderId="0" xfId="5" applyFont="1" applyAlignment="1">
      <alignment vertical="center"/>
    </xf>
    <xf numFmtId="0" fontId="8" fillId="0" borderId="0" xfId="5" applyFont="1" applyAlignment="1">
      <alignment vertical="center"/>
    </xf>
    <xf numFmtId="0" fontId="0" fillId="0" borderId="13" xfId="0" applyBorder="1"/>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3" fontId="4" fillId="0" borderId="1" xfId="1" applyFont="1" applyFill="1" applyBorder="1" applyAlignment="1">
      <alignment vertical="center" wrapText="1"/>
    </xf>
    <xf numFmtId="43" fontId="2" fillId="0" borderId="0" xfId="0" applyNumberFormat="1" applyFont="1"/>
    <xf numFmtId="43" fontId="4" fillId="0" borderId="1" xfId="1" applyFont="1" applyBorder="1" applyAlignment="1">
      <alignment vertical="center"/>
    </xf>
    <xf numFmtId="0" fontId="25" fillId="2" borderId="25" xfId="0" applyFont="1" applyFill="1" applyBorder="1" applyAlignment="1">
      <alignment vertical="top" wrapText="1"/>
    </xf>
    <xf numFmtId="0" fontId="0" fillId="0" borderId="21" xfId="0" applyBorder="1"/>
    <xf numFmtId="0" fontId="33" fillId="5" borderId="36" xfId="0" applyFont="1" applyFill="1" applyBorder="1" applyAlignment="1">
      <alignment vertical="center" wrapText="1"/>
    </xf>
    <xf numFmtId="0" fontId="7" fillId="0" borderId="0" xfId="0" applyFont="1" applyAlignment="1">
      <alignment vertical="center"/>
    </xf>
    <xf numFmtId="0" fontId="4" fillId="0" borderId="0" xfId="0" applyFont="1" applyAlignment="1">
      <alignment vertical="center"/>
    </xf>
    <xf numFmtId="0" fontId="16" fillId="0" borderId="0" xfId="5" applyFont="1" applyAlignment="1">
      <alignment horizontal="center" vertical="center" wrapText="1"/>
    </xf>
    <xf numFmtId="0" fontId="0" fillId="0" borderId="9" xfId="0" applyBorder="1" applyAlignment="1">
      <alignment horizontal="center" vertical="center"/>
    </xf>
    <xf numFmtId="0" fontId="33" fillId="5" borderId="37" xfId="0" applyFont="1" applyFill="1" applyBorder="1" applyAlignment="1">
      <alignment wrapText="1"/>
    </xf>
    <xf numFmtId="165" fontId="0" fillId="5" borderId="24" xfId="0" applyNumberFormat="1" applyFill="1" applyBorder="1" applyAlignment="1">
      <alignment horizontal="center" vertical="center"/>
    </xf>
    <xf numFmtId="0" fontId="4" fillId="0" borderId="13" xfId="0" applyFont="1" applyBorder="1" applyAlignment="1">
      <alignment horizontal="center" vertical="center"/>
    </xf>
    <xf numFmtId="0" fontId="4" fillId="0" borderId="7" xfId="0" applyFont="1" applyBorder="1"/>
    <xf numFmtId="165" fontId="0" fillId="0" borderId="17" xfId="0" quotePrefix="1" applyNumberFormat="1" applyBorder="1"/>
    <xf numFmtId="0" fontId="4" fillId="0" borderId="13" xfId="0" applyFont="1" applyBorder="1" applyAlignment="1">
      <alignment horizontal="center" vertical="center" wrapText="1"/>
    </xf>
    <xf numFmtId="0" fontId="4" fillId="0" borderId="7" xfId="0" applyFont="1" applyBorder="1" applyAlignment="1">
      <alignment vertical="center" wrapText="1"/>
    </xf>
    <xf numFmtId="165" fontId="0" fillId="0" borderId="17" xfId="0" applyNumberFormat="1" applyBorder="1" applyAlignment="1">
      <alignment wrapText="1"/>
    </xf>
    <xf numFmtId="0" fontId="33" fillId="5" borderId="7" xfId="0" applyFont="1" applyFill="1" applyBorder="1" applyAlignment="1">
      <alignment wrapText="1"/>
    </xf>
    <xf numFmtId="165" fontId="0" fillId="5" borderId="17" xfId="0" applyNumberFormat="1" applyFill="1" applyBorder="1" applyAlignment="1">
      <alignment horizontal="center" vertical="center" wrapText="1"/>
    </xf>
    <xf numFmtId="0" fontId="4" fillId="0" borderId="7" xfId="0" applyFont="1" applyBorder="1" applyAlignment="1">
      <alignment vertical="center"/>
    </xf>
    <xf numFmtId="165" fontId="0" fillId="0" borderId="17" xfId="0" applyNumberFormat="1" applyBorder="1"/>
    <xf numFmtId="0" fontId="4" fillId="0" borderId="7" xfId="0" applyFont="1" applyBorder="1" applyAlignment="1">
      <alignment wrapText="1"/>
    </xf>
    <xf numFmtId="0" fontId="4" fillId="0" borderId="21" xfId="0" applyFont="1" applyBorder="1" applyAlignment="1">
      <alignment horizontal="center" vertical="center" wrapText="1"/>
    </xf>
    <xf numFmtId="0" fontId="33" fillId="5" borderId="38" xfId="0" applyFont="1" applyFill="1" applyBorder="1" applyAlignment="1">
      <alignment wrapText="1"/>
    </xf>
    <xf numFmtId="165" fontId="0" fillId="5" borderId="23" xfId="0" applyNumberFormat="1" applyFill="1" applyBorder="1" applyAlignment="1">
      <alignment horizontal="center" vertical="center" wrapText="1"/>
    </xf>
    <xf numFmtId="0" fontId="40" fillId="0" borderId="8" xfId="0" applyFont="1" applyBorder="1" applyAlignment="1">
      <alignment horizontal="left" vertical="center" wrapText="1"/>
    </xf>
    <xf numFmtId="0" fontId="20" fillId="0" borderId="0" xfId="0" applyFont="1"/>
    <xf numFmtId="0" fontId="33" fillId="0" borderId="0" xfId="0" applyFont="1" applyAlignment="1">
      <alignment horizontal="center"/>
    </xf>
    <xf numFmtId="0" fontId="8" fillId="0" borderId="9" xfId="9" applyFont="1" applyBorder="1" applyAlignment="1" applyProtection="1">
      <alignment horizontal="center" vertical="center"/>
      <protection locked="0"/>
    </xf>
    <xf numFmtId="0" fontId="16" fillId="2" borderId="41" xfId="9" applyFont="1" applyFill="1" applyBorder="1" applyAlignment="1" applyProtection="1">
      <alignment horizontal="center" vertical="center" wrapText="1"/>
      <protection locked="0"/>
    </xf>
    <xf numFmtId="167" fontId="8" fillId="2" borderId="24" xfId="10" applyNumberFormat="1" applyFont="1" applyFill="1" applyBorder="1" applyAlignment="1" applyProtection="1">
      <alignment horizontal="center" vertical="center"/>
      <protection locked="0"/>
    </xf>
    <xf numFmtId="0" fontId="8" fillId="0" borderId="13" xfId="9" applyFont="1" applyBorder="1" applyAlignment="1" applyProtection="1">
      <alignment horizontal="center" vertical="center"/>
      <protection locked="0"/>
    </xf>
    <xf numFmtId="0" fontId="33" fillId="5" borderId="1" xfId="0" applyFont="1" applyFill="1" applyBorder="1" applyAlignment="1">
      <alignment horizontal="left" vertical="top" wrapText="1"/>
    </xf>
    <xf numFmtId="165" fontId="8" fillId="5" borderId="17" xfId="10" applyNumberFormat="1" applyFont="1" applyFill="1" applyBorder="1" applyAlignment="1" applyProtection="1">
      <alignment vertical="top"/>
    </xf>
    <xf numFmtId="0" fontId="8" fillId="2" borderId="11" xfId="11" applyFont="1" applyFill="1" applyBorder="1" applyAlignment="1" applyProtection="1">
      <alignment vertical="center" wrapText="1"/>
      <protection locked="0"/>
    </xf>
    <xf numFmtId="165" fontId="8" fillId="2" borderId="17"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5" borderId="17" xfId="10" applyNumberFormat="1" applyFont="1" applyFill="1" applyBorder="1" applyAlignment="1" applyProtection="1">
      <alignment vertical="top" wrapText="1"/>
    </xf>
    <xf numFmtId="0" fontId="8" fillId="2" borderId="11" xfId="11" applyFont="1" applyFill="1" applyBorder="1" applyAlignment="1" applyProtection="1">
      <alignment horizontal="left" vertical="center" wrapText="1"/>
      <protection locked="0"/>
    </xf>
    <xf numFmtId="165" fontId="8" fillId="2" borderId="17"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vertical="top" wrapText="1"/>
      <protection locked="0"/>
    </xf>
    <xf numFmtId="0" fontId="8" fillId="0" borderId="1" xfId="11" applyFont="1" applyBorder="1" applyAlignment="1" applyProtection="1">
      <alignment wrapText="1"/>
      <protection locked="0"/>
    </xf>
    <xf numFmtId="1" fontId="16" fillId="5" borderId="1" xfId="10" applyNumberFormat="1" applyFont="1" applyFill="1" applyBorder="1" applyAlignment="1" applyProtection="1">
      <alignment horizontal="left" vertical="top" wrapText="1"/>
    </xf>
    <xf numFmtId="167" fontId="0" fillId="0" borderId="0" xfId="1" applyNumberFormat="1" applyFont="1" applyAlignment="1">
      <alignment wrapText="1"/>
    </xf>
    <xf numFmtId="0" fontId="8" fillId="0" borderId="13" xfId="9" applyFont="1" applyBorder="1" applyAlignment="1" applyProtection="1">
      <alignment horizontal="center" vertical="center" wrapText="1"/>
      <protection locked="0"/>
    </xf>
    <xf numFmtId="0" fontId="16" fillId="2" borderId="1" xfId="11" applyFont="1" applyFill="1" applyBorder="1" applyAlignment="1" applyProtection="1">
      <alignment vertical="center" wrapText="1"/>
      <protection locked="0"/>
    </xf>
    <xf numFmtId="165" fontId="8" fillId="5" borderId="17"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6" fillId="5" borderId="1" xfId="11" applyFont="1" applyFill="1" applyBorder="1" applyAlignment="1" applyProtection="1">
      <alignment vertical="center" wrapText="1"/>
      <protection locked="0"/>
    </xf>
    <xf numFmtId="0" fontId="16" fillId="5" borderId="22" xfId="11" applyFont="1" applyFill="1" applyBorder="1" applyAlignment="1" applyProtection="1">
      <alignment vertical="center" wrapText="1"/>
      <protection locked="0"/>
    </xf>
    <xf numFmtId="165" fontId="8" fillId="5" borderId="23" xfId="10" applyNumberFormat="1" applyFont="1" applyFill="1" applyBorder="1" applyAlignment="1" applyProtection="1">
      <alignment vertical="top" wrapText="1"/>
    </xf>
    <xf numFmtId="0" fontId="41" fillId="0" borderId="0" xfId="0" applyFont="1" applyAlignment="1">
      <alignment horizontal="right"/>
    </xf>
    <xf numFmtId="167" fontId="41" fillId="0" borderId="0" xfId="1" applyNumberFormat="1" applyFont="1"/>
    <xf numFmtId="38" fontId="4" fillId="0" borderId="0" xfId="0" applyNumberFormat="1" applyFont="1"/>
    <xf numFmtId="0" fontId="33" fillId="0" borderId="0" xfId="12" applyFont="1" applyAlignment="1" applyProtection="1">
      <alignment horizontal="left" vertical="center"/>
      <protection locked="0"/>
    </xf>
    <xf numFmtId="0" fontId="33" fillId="5" borderId="10"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4" fillId="0" borderId="0" xfId="0" applyFont="1" applyAlignment="1">
      <alignment horizontal="center" vertical="center"/>
    </xf>
    <xf numFmtId="0" fontId="33" fillId="5" borderId="13"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7" fontId="4" fillId="0" borderId="17" xfId="1" applyNumberFormat="1" applyFont="1" applyBorder="1" applyAlignment="1">
      <alignment horizontal="right" vertical="center" wrapText="1"/>
    </xf>
    <xf numFmtId="10" fontId="33" fillId="5" borderId="1" xfId="0" applyNumberFormat="1" applyFont="1" applyFill="1" applyBorder="1" applyAlignment="1">
      <alignment horizontal="left" vertical="center" wrapText="1"/>
    </xf>
    <xf numFmtId="0" fontId="13" fillId="0" borderId="13"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7" fontId="13" fillId="0" borderId="17" xfId="1" applyNumberFormat="1" applyFont="1" applyBorder="1" applyAlignment="1">
      <alignment horizontal="right" vertical="center" wrapText="1"/>
    </xf>
    <xf numFmtId="0" fontId="13" fillId="0" borderId="0" xfId="0" applyFont="1" applyAlignment="1">
      <alignment horizontal="left" vertical="center"/>
    </xf>
    <xf numFmtId="10" fontId="33" fillId="5" borderId="1" xfId="2" applyNumberFormat="1" applyFont="1" applyFill="1" applyBorder="1" applyAlignment="1">
      <alignment horizontal="left" vertical="center" wrapText="1"/>
    </xf>
    <xf numFmtId="49" fontId="13" fillId="0" borderId="13" xfId="0" applyNumberFormat="1" applyFont="1" applyBorder="1" applyAlignment="1">
      <alignment horizontal="right" vertical="center" wrapText="1"/>
    </xf>
    <xf numFmtId="10" fontId="33" fillId="5" borderId="1" xfId="0" applyNumberFormat="1" applyFont="1" applyFill="1" applyBorder="1" applyAlignment="1">
      <alignment horizontal="center" vertical="center" wrapText="1"/>
    </xf>
    <xf numFmtId="0" fontId="33" fillId="0" borderId="13" xfId="0" applyFont="1" applyBorder="1" applyAlignment="1">
      <alignment horizontal="left" vertical="center" wrapText="1"/>
    </xf>
    <xf numFmtId="49" fontId="42" fillId="0" borderId="21" xfId="13" applyNumberFormat="1" applyFont="1" applyBorder="1" applyAlignment="1" applyProtection="1">
      <alignment horizontal="left" vertical="center"/>
      <protection locked="0"/>
    </xf>
    <xf numFmtId="0" fontId="43" fillId="0" borderId="22" xfId="9" applyFont="1" applyBorder="1" applyAlignment="1" applyProtection="1">
      <alignment horizontal="left" vertical="center" wrapText="1"/>
      <protection locked="0"/>
    </xf>
    <xf numFmtId="10" fontId="43" fillId="0" borderId="22" xfId="2" applyNumberFormat="1" applyFont="1" applyFill="1" applyBorder="1" applyAlignment="1" applyProtection="1">
      <alignment horizontal="left" vertical="center"/>
    </xf>
    <xf numFmtId="167" fontId="8" fillId="0" borderId="23" xfId="1" applyNumberFormat="1" applyFont="1" applyFill="1" applyBorder="1" applyAlignment="1" applyProtection="1">
      <alignment horizontal="right" vertical="center"/>
    </xf>
    <xf numFmtId="0" fontId="8" fillId="0" borderId="0" xfId="5" applyFont="1"/>
    <xf numFmtId="14" fontId="4" fillId="0" borderId="0" xfId="0" applyNumberFormat="1" applyFont="1"/>
    <xf numFmtId="0" fontId="44" fillId="0" borderId="0" xfId="5" applyFont="1"/>
    <xf numFmtId="0" fontId="45" fillId="0" borderId="0" xfId="0" applyFont="1"/>
    <xf numFmtId="0" fontId="46" fillId="7" borderId="10" xfId="0" applyFont="1" applyFill="1" applyBorder="1" applyAlignment="1">
      <alignment horizontal="center" vertical="center"/>
    </xf>
    <xf numFmtId="0" fontId="46" fillId="7" borderId="24" xfId="0" applyFont="1" applyFill="1" applyBorder="1" applyAlignment="1">
      <alignment horizontal="center" vertical="center"/>
    </xf>
    <xf numFmtId="0" fontId="46" fillId="8" borderId="1" xfId="0" applyFont="1" applyFill="1" applyBorder="1" applyAlignment="1">
      <alignment horizontal="left" vertical="center"/>
    </xf>
    <xf numFmtId="170" fontId="46" fillId="8" borderId="17" xfId="1" applyNumberFormat="1" applyFont="1" applyFill="1" applyBorder="1" applyAlignment="1">
      <alignment horizontal="left" vertical="center"/>
    </xf>
    <xf numFmtId="49" fontId="48" fillId="0" borderId="1" xfId="0" applyNumberFormat="1" applyFont="1" applyBorder="1" applyAlignment="1">
      <alignment horizontal="left" vertical="center"/>
    </xf>
    <xf numFmtId="170" fontId="48" fillId="0" borderId="17" xfId="1" applyNumberFormat="1" applyFont="1" applyFill="1" applyBorder="1" applyAlignment="1">
      <alignment horizontal="left" vertical="center"/>
    </xf>
    <xf numFmtId="0" fontId="48" fillId="0" borderId="1" xfId="0" applyFont="1" applyBorder="1" applyAlignment="1">
      <alignment horizontal="left" vertical="center"/>
    </xf>
    <xf numFmtId="0" fontId="46" fillId="0" borderId="1" xfId="0" applyFont="1" applyBorder="1" applyAlignment="1">
      <alignment horizontal="left" vertical="center"/>
    </xf>
    <xf numFmtId="10" fontId="8" fillId="0" borderId="17" xfId="0" applyNumberFormat="1" applyFont="1" applyBorder="1" applyAlignment="1">
      <alignment horizontal="right" vertical="center" wrapText="1"/>
    </xf>
    <xf numFmtId="0" fontId="50" fillId="9" borderId="22" xfId="0" applyFont="1" applyFill="1" applyBorder="1" applyAlignment="1">
      <alignment horizontal="left" vertical="center"/>
    </xf>
    <xf numFmtId="10" fontId="44" fillId="10" borderId="23" xfId="0" applyNumberFormat="1" applyFont="1" applyFill="1" applyBorder="1" applyAlignment="1">
      <alignment horizontal="right" vertical="center" wrapText="1"/>
    </xf>
    <xf numFmtId="0" fontId="51" fillId="0" borderId="0" xfId="0" applyFont="1" applyAlignment="1">
      <alignment vertical="top" wrapText="1"/>
    </xf>
    <xf numFmtId="0" fontId="53" fillId="0" borderId="0" xfId="0" applyFont="1" applyAlignment="1">
      <alignment vertical="top"/>
    </xf>
    <xf numFmtId="0" fontId="53" fillId="0" borderId="0" xfId="0" applyFont="1" applyAlignment="1">
      <alignment vertical="top" wrapText="1"/>
    </xf>
    <xf numFmtId="0" fontId="0" fillId="0" borderId="5" xfId="0" applyBorder="1"/>
    <xf numFmtId="0" fontId="4" fillId="11" borderId="1" xfId="0" applyFont="1" applyFill="1" applyBorder="1" applyAlignment="1">
      <alignment horizontal="center" vertical="center" wrapText="1"/>
    </xf>
    <xf numFmtId="0" fontId="33" fillId="10" borderId="1" xfId="0" applyFont="1" applyFill="1" applyBorder="1" applyAlignment="1">
      <alignment vertical="center" wrapText="1"/>
    </xf>
    <xf numFmtId="170" fontId="33" fillId="10" borderId="1" xfId="1" applyNumberFormat="1" applyFont="1" applyFill="1" applyBorder="1" applyAlignment="1">
      <alignment vertical="center"/>
    </xf>
    <xf numFmtId="170" fontId="33" fillId="10" borderId="17" xfId="1" applyNumberFormat="1" applyFont="1" applyFill="1" applyBorder="1" applyAlignment="1">
      <alignment vertical="center"/>
    </xf>
    <xf numFmtId="0" fontId="48" fillId="8" borderId="1" xfId="0" applyFont="1" applyFill="1" applyBorder="1" applyAlignment="1">
      <alignment horizontal="left" vertical="center" wrapText="1" indent="3"/>
    </xf>
    <xf numFmtId="170" fontId="33" fillId="5" borderId="1" xfId="1" applyNumberFormat="1" applyFont="1" applyFill="1" applyBorder="1" applyAlignment="1">
      <alignment vertical="center"/>
    </xf>
    <xf numFmtId="0" fontId="54" fillId="8" borderId="1" xfId="0" applyFont="1" applyFill="1" applyBorder="1" applyAlignment="1">
      <alignment horizontal="left" vertical="center" wrapText="1" indent="5"/>
    </xf>
    <xf numFmtId="0" fontId="55" fillId="7" borderId="1" xfId="0" applyFont="1" applyFill="1" applyBorder="1" applyAlignment="1">
      <alignment horizontal="left" vertical="center" wrapText="1" indent="1"/>
    </xf>
    <xf numFmtId="170" fontId="55" fillId="7" borderId="1" xfId="1" applyNumberFormat="1" applyFont="1" applyFill="1" applyBorder="1" applyAlignment="1">
      <alignment vertical="center"/>
    </xf>
    <xf numFmtId="170" fontId="55" fillId="9" borderId="17" xfId="1" applyNumberFormat="1" applyFont="1" applyFill="1" applyBorder="1" applyAlignment="1">
      <alignment vertical="center"/>
    </xf>
    <xf numFmtId="170" fontId="56" fillId="8" borderId="1" xfId="1" applyNumberFormat="1" applyFont="1" applyFill="1" applyBorder="1" applyAlignment="1">
      <alignment vertical="center"/>
    </xf>
    <xf numFmtId="170" fontId="56" fillId="9" borderId="17" xfId="1" applyNumberFormat="1" applyFont="1" applyFill="1" applyBorder="1" applyAlignment="1">
      <alignment vertical="center"/>
    </xf>
    <xf numFmtId="0" fontId="54" fillId="8" borderId="22" xfId="0" applyFont="1" applyFill="1" applyBorder="1" applyAlignment="1">
      <alignment horizontal="left" vertical="center" wrapText="1" indent="5"/>
    </xf>
    <xf numFmtId="170" fontId="56" fillId="8" borderId="22" xfId="1" applyNumberFormat="1" applyFont="1" applyFill="1" applyBorder="1" applyAlignment="1">
      <alignment vertical="center"/>
    </xf>
    <xf numFmtId="170" fontId="56" fillId="9" borderId="23" xfId="1" applyNumberFormat="1" applyFont="1" applyFill="1" applyBorder="1" applyAlignment="1">
      <alignment vertical="center"/>
    </xf>
    <xf numFmtId="0" fontId="7" fillId="0" borderId="0" xfId="0" applyFont="1"/>
    <xf numFmtId="0" fontId="14" fillId="0" borderId="0" xfId="5" applyFont="1"/>
    <xf numFmtId="0" fontId="14" fillId="0" borderId="0" xfId="5" applyFont="1" applyAlignment="1">
      <alignment horizontal="center"/>
    </xf>
    <xf numFmtId="0" fontId="34" fillId="0" borderId="0" xfId="0" applyFont="1" applyAlignment="1" applyProtection="1">
      <alignment horizontal="right"/>
      <protection locked="0"/>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7" xfId="0" applyFont="1" applyBorder="1" applyAlignment="1">
      <alignment horizontal="center" vertical="center" wrapText="1"/>
    </xf>
    <xf numFmtId="43" fontId="57" fillId="0" borderId="48" xfId="1" applyFont="1" applyBorder="1" applyAlignment="1">
      <alignment horizontal="center" vertical="center"/>
    </xf>
    <xf numFmtId="169" fontId="7" fillId="0" borderId="49" xfId="0" applyNumberFormat="1" applyFont="1" applyBorder="1" applyAlignment="1">
      <alignment horizontal="center"/>
    </xf>
    <xf numFmtId="169" fontId="0" fillId="0" borderId="0" xfId="0" applyNumberFormat="1" applyAlignment="1">
      <alignment horizontal="center"/>
    </xf>
    <xf numFmtId="43" fontId="7" fillId="0" borderId="50" xfId="1" applyFont="1" applyBorder="1" applyAlignment="1">
      <alignment horizontal="center" vertical="center"/>
    </xf>
    <xf numFmtId="169" fontId="7" fillId="0" borderId="51" xfId="0" applyNumberFormat="1" applyFont="1" applyBorder="1" applyAlignment="1">
      <alignment horizontal="center"/>
    </xf>
    <xf numFmtId="169" fontId="58" fillId="0" borderId="51" xfId="0" applyNumberFormat="1" applyFont="1" applyBorder="1" applyAlignment="1">
      <alignment horizontal="center"/>
    </xf>
    <xf numFmtId="169" fontId="59" fillId="0" borderId="0" xfId="0" applyNumberFormat="1" applyFont="1" applyAlignment="1">
      <alignment horizontal="center"/>
    </xf>
    <xf numFmtId="43" fontId="12" fillId="0" borderId="50" xfId="1" applyFont="1" applyBorder="1" applyAlignment="1">
      <alignment horizontal="center" vertical="center"/>
    </xf>
    <xf numFmtId="43" fontId="57" fillId="0" borderId="50" xfId="1" applyFont="1" applyBorder="1" applyAlignment="1">
      <alignment horizontal="center" vertical="center"/>
    </xf>
    <xf numFmtId="43" fontId="58" fillId="0" borderId="50" xfId="1" applyFont="1" applyBorder="1" applyAlignment="1">
      <alignment horizontal="center" vertical="center"/>
    </xf>
    <xf numFmtId="0" fontId="24" fillId="2" borderId="26" xfId="0" applyFont="1" applyFill="1" applyBorder="1" applyAlignment="1">
      <alignment vertical="top" wrapText="1"/>
    </xf>
    <xf numFmtId="169" fontId="34" fillId="0" borderId="51" xfId="0" applyNumberFormat="1" applyFont="1" applyBorder="1" applyAlignment="1">
      <alignment horizontal="center"/>
    </xf>
    <xf numFmtId="43" fontId="7" fillId="0" borderId="52" xfId="1" applyFont="1" applyBorder="1" applyAlignment="1">
      <alignment horizontal="center" vertical="center"/>
    </xf>
    <xf numFmtId="169" fontId="7" fillId="0" borderId="53" xfId="0" applyNumberFormat="1" applyFont="1" applyBorder="1" applyAlignment="1">
      <alignment horizontal="center"/>
    </xf>
    <xf numFmtId="169" fontId="57" fillId="0" borderId="54" xfId="0" applyNumberFormat="1" applyFont="1" applyBorder="1" applyAlignment="1">
      <alignment horizontal="center"/>
    </xf>
    <xf numFmtId="169" fontId="3" fillId="0" borderId="0" xfId="0" applyNumberFormat="1" applyFont="1" applyAlignment="1">
      <alignment horizontal="center"/>
    </xf>
    <xf numFmtId="43" fontId="57" fillId="0" borderId="55" xfId="1" applyFont="1" applyBorder="1" applyAlignment="1">
      <alignment horizontal="center" vertical="center"/>
    </xf>
    <xf numFmtId="43" fontId="57" fillId="0" borderId="52" xfId="1" applyFont="1" applyBorder="1" applyAlignment="1">
      <alignment horizontal="center" vertical="center"/>
    </xf>
    <xf numFmtId="43" fontId="58" fillId="0" borderId="52" xfId="1" applyFont="1" applyBorder="1" applyAlignment="1">
      <alignment vertical="center"/>
    </xf>
    <xf numFmtId="169" fontId="7" fillId="0" borderId="57" xfId="0" applyNumberFormat="1" applyFont="1" applyBorder="1" applyAlignment="1">
      <alignment horizontal="center"/>
    </xf>
    <xf numFmtId="43" fontId="57" fillId="0" borderId="58" xfId="1" applyFont="1" applyBorder="1" applyAlignment="1">
      <alignment horizontal="center" vertical="center"/>
    </xf>
    <xf numFmtId="0" fontId="0" fillId="0" borderId="2" xfId="0" applyBorder="1" applyAlignment="1">
      <alignment horizontal="center"/>
    </xf>
    <xf numFmtId="0" fontId="23" fillId="0" borderId="2" xfId="7" applyFont="1" applyBorder="1" applyAlignment="1">
      <alignment horizontal="left" vertical="center" wrapText="1" indent="1"/>
    </xf>
    <xf numFmtId="0" fontId="23" fillId="2" borderId="1" xfId="0" applyFont="1" applyFill="1" applyBorder="1" applyAlignment="1">
      <alignment horizontal="left" vertical="center" wrapText="1" indent="1"/>
    </xf>
    <xf numFmtId="169" fontId="7" fillId="0" borderId="1" xfId="0" applyNumberFormat="1" applyFont="1" applyBorder="1" applyAlignment="1">
      <alignment horizontal="center"/>
    </xf>
    <xf numFmtId="43" fontId="57" fillId="0" borderId="1" xfId="1" applyFont="1" applyBorder="1" applyAlignment="1">
      <alignment horizontal="center"/>
    </xf>
    <xf numFmtId="0" fontId="23" fillId="0" borderId="1" xfId="0" applyFont="1" applyBorder="1" applyAlignment="1">
      <alignment horizontal="left" vertical="center" wrapText="1" indent="1"/>
    </xf>
    <xf numFmtId="43" fontId="7" fillId="0" borderId="1" xfId="1" applyFont="1" applyBorder="1" applyAlignment="1">
      <alignment horizontal="center"/>
    </xf>
    <xf numFmtId="43" fontId="7" fillId="0" borderId="1" xfId="1" applyFont="1" applyFill="1" applyBorder="1" applyAlignment="1">
      <alignment horizontal="center"/>
    </xf>
    <xf numFmtId="43" fontId="57" fillId="0" borderId="1" xfId="1" applyFont="1" applyBorder="1" applyAlignment="1">
      <alignment horizontal="center" vertical="center"/>
    </xf>
    <xf numFmtId="43" fontId="7" fillId="0" borderId="1" xfId="1" applyFont="1" applyBorder="1" applyAlignment="1">
      <alignment horizontal="center" vertical="center"/>
    </xf>
    <xf numFmtId="0" fontId="25" fillId="2" borderId="1" xfId="0" applyFont="1" applyFill="1" applyBorder="1" applyAlignment="1">
      <alignment horizontal="left" vertical="center" wrapText="1" indent="1"/>
    </xf>
    <xf numFmtId="0" fontId="25" fillId="0" borderId="1" xfId="0" applyFont="1" applyBorder="1" applyAlignment="1">
      <alignment horizontal="left" vertical="center" wrapText="1" indent="1"/>
    </xf>
    <xf numFmtId="0" fontId="33" fillId="0" borderId="0" xfId="0" applyFont="1" applyAlignment="1">
      <alignment horizontal="center" wrapText="1"/>
    </xf>
    <xf numFmtId="0" fontId="4" fillId="0" borderId="59" xfId="0" applyFont="1" applyBorder="1"/>
    <xf numFmtId="0" fontId="4" fillId="0" borderId="60" xfId="0" applyFont="1" applyBorder="1"/>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xf>
    <xf numFmtId="0" fontId="4" fillId="0" borderId="61" xfId="0" applyFont="1" applyBorder="1"/>
    <xf numFmtId="9" fontId="62" fillId="0" borderId="1" xfId="0" applyNumberFormat="1" applyFont="1" applyBorder="1" applyAlignment="1">
      <alignment horizontal="center" vertical="center"/>
    </xf>
    <xf numFmtId="0" fontId="4" fillId="0" borderId="13" xfId="0" applyFont="1" applyBorder="1" applyAlignment="1">
      <alignment vertical="center"/>
    </xf>
    <xf numFmtId="0" fontId="8" fillId="2" borderId="1" xfId="11" applyFont="1" applyFill="1" applyBorder="1" applyAlignment="1" applyProtection="1">
      <alignment horizontal="left" vertical="center"/>
      <protection locked="0"/>
    </xf>
    <xf numFmtId="165" fontId="4" fillId="0" borderId="1" xfId="0" applyNumberFormat="1" applyFont="1" applyBorder="1"/>
    <xf numFmtId="165" fontId="4" fillId="0" borderId="6" xfId="0" applyNumberFormat="1" applyFont="1" applyBorder="1"/>
    <xf numFmtId="169" fontId="4" fillId="0" borderId="17" xfId="0" applyNumberFormat="1" applyFont="1" applyBorder="1"/>
    <xf numFmtId="0" fontId="8" fillId="0" borderId="1" xfId="11" applyFont="1" applyBorder="1" applyAlignment="1" applyProtection="1">
      <alignment horizontal="left" vertical="center"/>
      <protection locked="0"/>
    </xf>
    <xf numFmtId="0" fontId="8" fillId="2" borderId="21" xfId="9" applyFont="1" applyFill="1" applyBorder="1" applyAlignment="1" applyProtection="1">
      <alignment horizontal="left" vertical="center"/>
      <protection locked="0"/>
    </xf>
    <xf numFmtId="0" fontId="16" fillId="2" borderId="22" xfId="14" applyFont="1" applyFill="1" applyBorder="1" applyAlignment="1" applyProtection="1">
      <alignment vertical="top" wrapText="1"/>
      <protection locked="0"/>
    </xf>
    <xf numFmtId="165" fontId="4" fillId="5" borderId="22" xfId="0" applyNumberFormat="1" applyFont="1" applyFill="1" applyBorder="1"/>
    <xf numFmtId="167" fontId="4" fillId="5" borderId="23" xfId="1" applyNumberFormat="1" applyFont="1" applyFill="1" applyBorder="1"/>
    <xf numFmtId="0" fontId="4" fillId="0" borderId="9" xfId="0" applyFont="1" applyBorder="1"/>
    <xf numFmtId="0" fontId="4" fillId="0" borderId="24" xfId="0" applyFont="1" applyBorder="1"/>
    <xf numFmtId="0" fontId="4" fillId="0" borderId="17" xfId="0" applyFont="1" applyBorder="1" applyAlignment="1">
      <alignment horizontal="center" vertical="center"/>
    </xf>
    <xf numFmtId="167" fontId="8" fillId="2" borderId="13" xfId="15" applyNumberFormat="1" applyFont="1" applyFill="1" applyBorder="1" applyAlignment="1" applyProtection="1">
      <alignment horizontal="center" vertical="center" wrapText="1"/>
      <protection locked="0"/>
    </xf>
    <xf numFmtId="167"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7" fontId="8" fillId="2" borderId="17" xfId="15" applyNumberFormat="1" applyFont="1" applyFill="1" applyBorder="1" applyAlignment="1" applyProtection="1">
      <alignment horizontal="center" vertical="center" wrapText="1"/>
      <protection locked="0"/>
    </xf>
    <xf numFmtId="0" fontId="8" fillId="2" borderId="13" xfId="13" applyFont="1" applyFill="1" applyBorder="1" applyAlignment="1" applyProtection="1">
      <alignment horizontal="right" vertical="center"/>
      <protection locked="0"/>
    </xf>
    <xf numFmtId="0" fontId="8" fillId="2" borderId="17" xfId="11" applyFont="1" applyFill="1" applyBorder="1" applyAlignment="1" applyProtection="1">
      <alignment horizontal="left" vertical="center"/>
      <protection locked="0"/>
    </xf>
    <xf numFmtId="165" fontId="4" fillId="0" borderId="13" xfId="0" applyNumberFormat="1" applyFont="1" applyBorder="1"/>
    <xf numFmtId="165" fontId="4" fillId="0" borderId="17" xfId="0" applyNumberFormat="1" applyFont="1" applyBorder="1"/>
    <xf numFmtId="165" fontId="4" fillId="0" borderId="18" xfId="0" applyNumberFormat="1" applyFont="1" applyBorder="1" applyAlignment="1">
      <alignment wrapText="1"/>
    </xf>
    <xf numFmtId="165" fontId="4" fillId="0" borderId="18" xfId="0" applyNumberFormat="1" applyFont="1" applyBorder="1"/>
    <xf numFmtId="165" fontId="4" fillId="5" borderId="65" xfId="0" applyNumberFormat="1" applyFont="1" applyFill="1" applyBorder="1"/>
    <xf numFmtId="0" fontId="16" fillId="2" borderId="23" xfId="14" applyFont="1" applyFill="1" applyBorder="1" applyProtection="1">
      <protection locked="0"/>
    </xf>
    <xf numFmtId="165" fontId="4" fillId="5" borderId="21" xfId="0" applyNumberFormat="1" applyFont="1" applyFill="1" applyBorder="1"/>
    <xf numFmtId="165" fontId="4" fillId="5" borderId="23" xfId="0" applyNumberFormat="1" applyFont="1" applyFill="1" applyBorder="1"/>
    <xf numFmtId="165" fontId="4" fillId="5" borderId="66"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10" xfId="0" applyFont="1" applyBorder="1"/>
    <xf numFmtId="0" fontId="4" fillId="0" borderId="10" xfId="0" applyFont="1" applyBorder="1" applyAlignment="1">
      <alignment wrapText="1"/>
    </xf>
    <xf numFmtId="0" fontId="4" fillId="0" borderId="34" xfId="0" applyFont="1" applyBorder="1" applyAlignment="1">
      <alignment wrapText="1"/>
    </xf>
    <xf numFmtId="0" fontId="4" fillId="0" borderId="24" xfId="0" applyFont="1" applyBorder="1" applyAlignment="1">
      <alignment wrapText="1"/>
    </xf>
    <xf numFmtId="0" fontId="32" fillId="0" borderId="0" xfId="0" applyFont="1" applyAlignment="1">
      <alignment wrapText="1"/>
    </xf>
    <xf numFmtId="0" fontId="4" fillId="0" borderId="11" xfId="0" applyFont="1" applyBorder="1"/>
    <xf numFmtId="0" fontId="4" fillId="0" borderId="13" xfId="0" applyFont="1" applyBorder="1"/>
    <xf numFmtId="0" fontId="4" fillId="0" borderId="21" xfId="0" applyFont="1" applyBorder="1"/>
    <xf numFmtId="0" fontId="33" fillId="0" borderId="22" xfId="0" applyFont="1" applyBorder="1" applyAlignment="1">
      <alignment vertical="top" wrapText="1"/>
    </xf>
    <xf numFmtId="0" fontId="4" fillId="0" borderId="0" xfId="0" applyFont="1" applyAlignment="1">
      <alignment horizontal="left"/>
    </xf>
    <xf numFmtId="0" fontId="63" fillId="2" borderId="68" xfId="0" applyFont="1" applyFill="1" applyBorder="1" applyAlignment="1">
      <alignment horizontal="left"/>
    </xf>
    <xf numFmtId="0" fontId="63" fillId="2" borderId="4" xfId="0" applyFont="1" applyFill="1" applyBorder="1" applyAlignment="1">
      <alignment horizontal="left"/>
    </xf>
    <xf numFmtId="0" fontId="4" fillId="0" borderId="17" xfId="0" applyFont="1" applyBorder="1" applyAlignment="1">
      <alignment horizontal="center" vertical="center" wrapText="1"/>
    </xf>
    <xf numFmtId="0" fontId="33" fillId="2" borderId="44" xfId="0" applyFont="1" applyFill="1" applyBorder="1" applyAlignment="1">
      <alignment vertical="center"/>
    </xf>
    <xf numFmtId="0" fontId="4" fillId="2" borderId="7" xfId="0" applyFont="1" applyFill="1" applyBorder="1" applyAlignment="1">
      <alignment vertical="center"/>
    </xf>
    <xf numFmtId="0" fontId="4" fillId="2" borderId="18" xfId="0" applyFont="1" applyFill="1" applyBorder="1" applyAlignment="1">
      <alignment vertical="center"/>
    </xf>
    <xf numFmtId="0" fontId="4" fillId="0" borderId="32" xfId="0" applyFont="1" applyBorder="1" applyAlignment="1">
      <alignment horizontal="center" vertical="center"/>
    </xf>
    <xf numFmtId="0" fontId="4" fillId="0" borderId="11" xfId="0" applyFont="1" applyBorder="1" applyAlignment="1">
      <alignment vertical="center"/>
    </xf>
    <xf numFmtId="164" fontId="17" fillId="3" borderId="0" xfId="6"/>
    <xf numFmtId="0" fontId="4" fillId="0" borderId="1" xfId="0" applyFont="1" applyBorder="1" applyAlignment="1">
      <alignment vertical="center"/>
    </xf>
    <xf numFmtId="0" fontId="33" fillId="0" borderId="1" xfId="0" applyFont="1" applyBorder="1" applyAlignment="1">
      <alignment vertical="center"/>
    </xf>
    <xf numFmtId="0" fontId="4" fillId="0" borderId="21" xfId="0" applyFont="1" applyBorder="1" applyAlignment="1">
      <alignment horizontal="center" vertical="center"/>
    </xf>
    <xf numFmtId="0" fontId="33" fillId="0" borderId="22" xfId="0" applyFont="1" applyBorder="1" applyAlignment="1">
      <alignment vertical="center"/>
    </xf>
    <xf numFmtId="0" fontId="4" fillId="2" borderId="61"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center"/>
    </xf>
    <xf numFmtId="0" fontId="4" fillId="0" borderId="9" xfId="0" applyFont="1" applyBorder="1" applyAlignment="1">
      <alignment horizontal="center" vertical="center"/>
    </xf>
    <xf numFmtId="0" fontId="4" fillId="0" borderId="34" xfId="0" applyFont="1" applyBorder="1" applyAlignment="1">
      <alignment vertical="center"/>
    </xf>
    <xf numFmtId="164" fontId="17" fillId="3" borderId="59" xfId="6" applyBorder="1"/>
    <xf numFmtId="164" fontId="17" fillId="3" borderId="60" xfId="6" applyBorder="1"/>
    <xf numFmtId="167" fontId="4" fillId="0" borderId="34" xfId="1" applyNumberFormat="1" applyFont="1" applyBorder="1" applyAlignment="1">
      <alignment vertical="center"/>
    </xf>
    <xf numFmtId="43" fontId="4" fillId="0" borderId="34" xfId="1" applyFont="1" applyBorder="1" applyAlignment="1">
      <alignment vertical="center"/>
    </xf>
    <xf numFmtId="43" fontId="4" fillId="0" borderId="24" xfId="1" applyFont="1" applyBorder="1" applyAlignment="1">
      <alignment vertical="center"/>
    </xf>
    <xf numFmtId="0" fontId="4" fillId="0" borderId="19" xfId="0" applyFont="1" applyBorder="1" applyAlignment="1">
      <alignment horizontal="center" vertical="center"/>
    </xf>
    <xf numFmtId="0" fontId="4" fillId="0" borderId="3" xfId="0" applyFont="1" applyBorder="1" applyAlignment="1">
      <alignment vertical="center"/>
    </xf>
    <xf numFmtId="164" fontId="17" fillId="3" borderId="69" xfId="6" applyBorder="1"/>
    <xf numFmtId="164" fontId="17" fillId="3" borderId="38" xfId="6" applyBorder="1"/>
    <xf numFmtId="164" fontId="17" fillId="3" borderId="36" xfId="6" applyBorder="1"/>
    <xf numFmtId="167" fontId="4" fillId="0" borderId="3" xfId="1" applyNumberFormat="1" applyFont="1" applyBorder="1" applyAlignment="1">
      <alignment vertical="center"/>
    </xf>
    <xf numFmtId="43" fontId="4" fillId="0" borderId="3" xfId="1" applyFont="1" applyBorder="1" applyAlignment="1">
      <alignment vertical="center"/>
    </xf>
    <xf numFmtId="43" fontId="4" fillId="0" borderId="20" xfId="1" applyFont="1" applyBorder="1" applyAlignment="1">
      <alignment vertical="center"/>
    </xf>
    <xf numFmtId="0" fontId="4" fillId="0" borderId="70" xfId="0" applyFont="1" applyBorder="1" applyAlignment="1">
      <alignment horizontal="center" vertical="center"/>
    </xf>
    <xf numFmtId="0" fontId="4" fillId="0" borderId="71" xfId="0" applyFont="1" applyBorder="1" applyAlignment="1">
      <alignment vertical="center"/>
    </xf>
    <xf numFmtId="164" fontId="17" fillId="3" borderId="72" xfId="6" applyBorder="1"/>
    <xf numFmtId="164" fontId="17" fillId="3" borderId="73" xfId="6" applyBorder="1"/>
    <xf numFmtId="9" fontId="4" fillId="0" borderId="71" xfId="2" applyFont="1" applyBorder="1" applyAlignment="1">
      <alignment vertical="center"/>
    </xf>
    <xf numFmtId="9" fontId="4" fillId="0" borderId="74" xfId="2" applyFont="1" applyBorder="1" applyAlignment="1">
      <alignment vertical="center"/>
    </xf>
    <xf numFmtId="43" fontId="4" fillId="0" borderId="0" xfId="0" applyNumberFormat="1" applyFont="1"/>
    <xf numFmtId="0" fontId="64" fillId="2" borderId="0" xfId="16" applyFont="1" applyFill="1" applyAlignment="1" applyProtection="1">
      <alignment vertical="center"/>
      <protection locked="0"/>
    </xf>
    <xf numFmtId="0" fontId="65" fillId="2" borderId="1" xfId="13" applyFont="1" applyFill="1" applyBorder="1" applyAlignment="1" applyProtection="1">
      <alignment vertical="center" wrapText="1"/>
      <protection locked="0"/>
    </xf>
    <xf numFmtId="0" fontId="65" fillId="0" borderId="1" xfId="17" applyFont="1" applyBorder="1" applyAlignment="1" applyProtection="1">
      <alignment horizontal="center" vertical="center" wrapText="1"/>
      <protection locked="0"/>
    </xf>
    <xf numFmtId="3" fontId="65" fillId="2" borderId="1" xfId="15" applyNumberFormat="1" applyFont="1" applyFill="1" applyBorder="1" applyAlignment="1" applyProtection="1">
      <alignment horizontal="center" vertical="center" wrapText="1"/>
      <protection locked="0"/>
    </xf>
    <xf numFmtId="9" fontId="65" fillId="2" borderId="1" xfId="18" applyNumberFormat="1" applyFont="1" applyFill="1" applyBorder="1" applyAlignment="1" applyProtection="1">
      <alignment horizontal="center" vertical="center" wrapText="1"/>
      <protection locked="0"/>
    </xf>
    <xf numFmtId="0" fontId="65" fillId="2" borderId="1" xfId="17" applyFont="1" applyFill="1" applyBorder="1" applyAlignment="1" applyProtection="1">
      <alignment horizontal="center" vertical="center" wrapText="1"/>
      <protection locked="0"/>
    </xf>
    <xf numFmtId="0" fontId="64" fillId="2" borderId="1" xfId="17" applyFont="1" applyFill="1" applyBorder="1" applyProtection="1">
      <protection locked="0"/>
    </xf>
    <xf numFmtId="3" fontId="65" fillId="6" borderId="1" xfId="13" applyNumberFormat="1" applyFont="1" applyFill="1" applyBorder="1"/>
    <xf numFmtId="0" fontId="67" fillId="2" borderId="1" xfId="17" applyFont="1" applyFill="1" applyBorder="1" applyAlignment="1" applyProtection="1">
      <alignment horizontal="right"/>
      <protection locked="0"/>
    </xf>
    <xf numFmtId="171" fontId="65" fillId="6" borderId="1" xfId="13" applyNumberFormat="1" applyFont="1" applyFill="1" applyBorder="1" applyProtection="1">
      <protection locked="0"/>
    </xf>
    <xf numFmtId="167" fontId="65" fillId="6" borderId="1" xfId="15" applyNumberFormat="1" applyFont="1" applyFill="1" applyBorder="1" applyAlignment="1" applyProtection="1"/>
    <xf numFmtId="0" fontId="65" fillId="2" borderId="1" xfId="17" applyFont="1" applyFill="1" applyBorder="1" applyAlignment="1" applyProtection="1">
      <alignment horizontal="left" vertical="center"/>
      <protection locked="0"/>
    </xf>
    <xf numFmtId="3" fontId="65" fillId="2" borderId="1" xfId="13" applyNumberFormat="1" applyFont="1" applyFill="1" applyBorder="1" applyProtection="1">
      <protection locked="0"/>
    </xf>
    <xf numFmtId="0" fontId="65" fillId="2" borderId="1" xfId="13" applyFont="1" applyFill="1" applyBorder="1" applyProtection="1">
      <protection locked="0"/>
    </xf>
    <xf numFmtId="0" fontId="30" fillId="2" borderId="1" xfId="17" applyFont="1" applyFill="1" applyBorder="1" applyAlignment="1" applyProtection="1">
      <alignment horizontal="right"/>
      <protection locked="0"/>
    </xf>
    <xf numFmtId="0" fontId="65" fillId="0" borderId="1" xfId="17" applyFont="1" applyBorder="1" applyAlignment="1" applyProtection="1">
      <alignment horizontal="left" vertical="center"/>
      <protection locked="0"/>
    </xf>
    <xf numFmtId="0" fontId="64" fillId="2" borderId="1" xfId="14" applyFont="1" applyFill="1" applyBorder="1" applyProtection="1">
      <protection locked="0"/>
    </xf>
    <xf numFmtId="3" fontId="64" fillId="13" borderId="1" xfId="14" applyNumberFormat="1" applyFont="1" applyFill="1" applyBorder="1"/>
    <xf numFmtId="0" fontId="70" fillId="13" borderId="6" xfId="19" applyFont="1" applyFill="1" applyBorder="1" applyAlignment="1" applyProtection="1">
      <alignment vertical="center" wrapText="1"/>
      <protection locked="0"/>
    </xf>
    <xf numFmtId="0" fontId="71" fillId="13" borderId="8" xfId="19" applyFont="1" applyFill="1" applyBorder="1" applyProtection="1">
      <alignment vertical="center"/>
      <protection locked="0"/>
    </xf>
    <xf numFmtId="0" fontId="72" fillId="14" borderId="2" xfId="19" applyFont="1" applyFill="1" applyBorder="1" applyAlignment="1" applyProtection="1">
      <alignment horizontal="center" vertical="center"/>
      <protection locked="0"/>
    </xf>
    <xf numFmtId="0" fontId="72" fillId="0" borderId="8" xfId="19" applyFont="1" applyBorder="1" applyAlignment="1" applyProtection="1">
      <alignment horizontal="left" vertical="center" wrapText="1"/>
      <protection locked="0"/>
    </xf>
    <xf numFmtId="172" fontId="0" fillId="0" borderId="0" xfId="0" applyNumberFormat="1"/>
    <xf numFmtId="0" fontId="70" fillId="12" borderId="1" xfId="19" applyFont="1" applyFill="1" applyBorder="1" applyAlignment="1" applyProtection="1">
      <alignment horizontal="center" vertical="center"/>
      <protection locked="0"/>
    </xf>
    <xf numFmtId="0" fontId="70" fillId="12" borderId="8" xfId="19" applyFont="1" applyFill="1" applyBorder="1" applyAlignment="1" applyProtection="1">
      <alignment vertical="top" wrapText="1"/>
      <protection locked="0"/>
    </xf>
    <xf numFmtId="167" fontId="72" fillId="12" borderId="1" xfId="20" applyNumberFormat="1" applyFont="1" applyFill="1" applyBorder="1" applyAlignment="1" applyProtection="1">
      <alignment horizontal="right" vertical="center"/>
    </xf>
    <xf numFmtId="0" fontId="70" fillId="13" borderId="6" xfId="19" applyFont="1" applyFill="1" applyBorder="1" applyProtection="1">
      <alignment vertical="center"/>
      <protection locked="0"/>
    </xf>
    <xf numFmtId="167" fontId="71" fillId="13" borderId="8" xfId="20" applyNumberFormat="1" applyFont="1" applyFill="1" applyBorder="1" applyAlignment="1" applyProtection="1">
      <alignment horizontal="right" vertical="center"/>
      <protection locked="0"/>
    </xf>
    <xf numFmtId="0" fontId="73" fillId="14" borderId="2" xfId="19" applyFont="1" applyFill="1" applyBorder="1" applyAlignment="1" applyProtection="1">
      <alignment horizontal="center" vertical="center"/>
      <protection locked="0"/>
    </xf>
    <xf numFmtId="0" fontId="72" fillId="14" borderId="8" xfId="19" applyFont="1" applyFill="1" applyBorder="1" applyAlignment="1" applyProtection="1">
      <alignment vertical="center" wrapText="1"/>
      <protection locked="0"/>
    </xf>
    <xf numFmtId="167" fontId="72" fillId="0" borderId="1" xfId="20" applyNumberFormat="1" applyFont="1" applyFill="1" applyBorder="1" applyAlignment="1" applyProtection="1">
      <alignment horizontal="right" vertical="center"/>
      <protection locked="0"/>
    </xf>
    <xf numFmtId="0" fontId="72" fillId="14" borderId="8" xfId="19" applyFont="1" applyFill="1" applyBorder="1" applyAlignment="1" applyProtection="1">
      <alignment horizontal="left" vertical="center" wrapText="1"/>
      <protection locked="0"/>
    </xf>
    <xf numFmtId="0" fontId="73" fillId="2" borderId="2" xfId="19" applyFont="1" applyFill="1" applyBorder="1" applyAlignment="1" applyProtection="1">
      <alignment horizontal="center" vertical="center"/>
      <protection locked="0"/>
    </xf>
    <xf numFmtId="0" fontId="72" fillId="0" borderId="8" xfId="19" applyFont="1" applyBorder="1" applyAlignment="1" applyProtection="1">
      <alignment vertical="center" wrapText="1"/>
      <protection locked="0"/>
    </xf>
    <xf numFmtId="0" fontId="74" fillId="12" borderId="1" xfId="19" applyFont="1" applyFill="1" applyBorder="1" applyAlignment="1" applyProtection="1">
      <alignment horizontal="center" vertical="center"/>
      <protection locked="0"/>
    </xf>
    <xf numFmtId="0" fontId="70" fillId="12" borderId="8" xfId="19" applyFont="1" applyFill="1" applyBorder="1" applyAlignment="1" applyProtection="1">
      <alignment vertical="center" wrapText="1"/>
      <protection locked="0"/>
    </xf>
    <xf numFmtId="167" fontId="70" fillId="13" borderId="8" xfId="20" applyNumberFormat="1" applyFont="1" applyFill="1" applyBorder="1" applyAlignment="1" applyProtection="1">
      <alignment horizontal="right" vertical="center"/>
      <protection locked="0"/>
    </xf>
    <xf numFmtId="0" fontId="72" fillId="14" borderId="8" xfId="19" applyFont="1" applyFill="1" applyBorder="1" applyAlignment="1" applyProtection="1">
      <alignment vertical="top" wrapText="1"/>
      <protection locked="0"/>
    </xf>
    <xf numFmtId="0" fontId="70" fillId="13" borderId="6" xfId="19" applyFont="1" applyFill="1" applyBorder="1" applyAlignment="1" applyProtection="1">
      <alignment horizontal="center" vertical="center"/>
      <protection locked="0"/>
    </xf>
    <xf numFmtId="167" fontId="72" fillId="2" borderId="1" xfId="20" applyNumberFormat="1" applyFont="1" applyFill="1" applyBorder="1" applyAlignment="1" applyProtection="1">
      <alignment horizontal="right" vertical="center"/>
      <protection locked="0"/>
    </xf>
    <xf numFmtId="0" fontId="71" fillId="13" borderId="6" xfId="19" applyFont="1" applyFill="1" applyBorder="1" applyProtection="1">
      <alignment vertical="center"/>
      <protection locked="0"/>
    </xf>
    <xf numFmtId="10" fontId="72" fillId="12" borderId="1" xfId="2" applyNumberFormat="1" applyFont="1" applyFill="1" applyBorder="1" applyAlignment="1" applyProtection="1">
      <alignment horizontal="right" vertical="center"/>
    </xf>
    <xf numFmtId="0" fontId="73" fillId="14" borderId="1" xfId="19" applyFont="1" applyFill="1" applyBorder="1" applyAlignment="1" applyProtection="1">
      <alignment horizontal="center" vertical="center"/>
      <protection locked="0"/>
    </xf>
    <xf numFmtId="0" fontId="76" fillId="14" borderId="1" xfId="19" applyFont="1" applyFill="1" applyBorder="1" applyAlignment="1" applyProtection="1">
      <alignment horizontal="center" vertical="center"/>
      <protection locked="0"/>
    </xf>
    <xf numFmtId="0" fontId="62" fillId="0" borderId="0" xfId="0" applyFont="1" applyAlignment="1">
      <alignment wrapText="1"/>
    </xf>
    <xf numFmtId="0" fontId="77" fillId="0" borderId="0" xfId="16" applyFont="1" applyAlignment="1" applyProtection="1">
      <alignment vertical="center"/>
      <protection locked="0"/>
    </xf>
    <xf numFmtId="0" fontId="65" fillId="0" borderId="1" xfId="17" applyFont="1" applyBorder="1" applyAlignment="1" applyProtection="1">
      <alignment horizontal="center" vertical="top" wrapText="1"/>
      <protection locked="0"/>
    </xf>
    <xf numFmtId="0" fontId="64" fillId="2" borderId="1" xfId="17" applyFont="1" applyFill="1" applyBorder="1" applyAlignment="1" applyProtection="1">
      <alignment wrapText="1"/>
      <protection locked="0"/>
    </xf>
    <xf numFmtId="0" fontId="30" fillId="2" borderId="1" xfId="17" applyFont="1" applyFill="1" applyBorder="1" applyAlignment="1" applyProtection="1">
      <alignment horizontal="right" wrapText="1"/>
      <protection locked="0"/>
    </xf>
    <xf numFmtId="3" fontId="65" fillId="0" borderId="1" xfId="13" applyNumberFormat="1" applyFont="1" applyBorder="1"/>
    <xf numFmtId="0" fontId="4" fillId="2" borderId="59" xfId="0" applyFont="1" applyFill="1" applyBorder="1"/>
    <xf numFmtId="0" fontId="4" fillId="2" borderId="75" xfId="0" applyFont="1" applyFill="1" applyBorder="1" applyAlignment="1">
      <alignment wrapText="1"/>
    </xf>
    <xf numFmtId="0" fontId="4" fillId="2" borderId="76" xfId="0" applyFont="1" applyFill="1" applyBorder="1"/>
    <xf numFmtId="0" fontId="33" fillId="2" borderId="29" xfId="0" applyFont="1" applyFill="1" applyBorder="1" applyAlignment="1">
      <alignment horizontal="center" wrapText="1"/>
    </xf>
    <xf numFmtId="0" fontId="4" fillId="0" borderId="1" xfId="0" applyFont="1" applyBorder="1" applyAlignment="1">
      <alignment horizontal="center"/>
    </xf>
    <xf numFmtId="0" fontId="4" fillId="2" borderId="61" xfId="0" applyFont="1" applyFill="1" applyBorder="1"/>
    <xf numFmtId="0" fontId="33" fillId="2" borderId="0" xfId="0" applyFont="1" applyFill="1" applyAlignment="1">
      <alignment horizontal="center" wrapText="1"/>
    </xf>
    <xf numFmtId="0" fontId="4" fillId="2" borderId="0" xfId="0" applyFont="1" applyFill="1" applyAlignment="1">
      <alignment horizontal="center"/>
    </xf>
    <xf numFmtId="0" fontId="4" fillId="2" borderId="77" xfId="0" applyFont="1" applyFill="1" applyBorder="1" applyAlignment="1">
      <alignment horizontal="center" vertical="center" wrapText="1"/>
    </xf>
    <xf numFmtId="0" fontId="4" fillId="0" borderId="1" xfId="0" applyFont="1" applyBorder="1" applyAlignment="1">
      <alignment wrapText="1"/>
    </xf>
    <xf numFmtId="167" fontId="4" fillId="0" borderId="17" xfId="1" applyNumberFormat="1" applyFont="1" applyBorder="1"/>
    <xf numFmtId="0" fontId="63" fillId="0" borderId="1" xfId="0" applyFont="1" applyBorder="1" applyAlignment="1">
      <alignment horizontal="left" wrapText="1" indent="2"/>
    </xf>
    <xf numFmtId="164" fontId="17" fillId="3" borderId="1" xfId="6" applyBorder="1"/>
    <xf numFmtId="43" fontId="0" fillId="0" borderId="0" xfId="1" applyFont="1"/>
    <xf numFmtId="0" fontId="63" fillId="0" borderId="1" xfId="0" applyFont="1" applyBorder="1" applyAlignment="1">
      <alignment horizontal="left" vertical="top" wrapText="1" indent="2"/>
    </xf>
    <xf numFmtId="167" fontId="4" fillId="0" borderId="1" xfId="1" applyNumberFormat="1" applyFont="1" applyBorder="1" applyAlignment="1"/>
    <xf numFmtId="167" fontId="4" fillId="0" borderId="1" xfId="1" applyNumberFormat="1" applyFont="1" applyBorder="1" applyAlignment="1">
      <alignment vertical="top"/>
    </xf>
    <xf numFmtId="0" fontId="33" fillId="0" borderId="13" xfId="0" applyFont="1" applyBorder="1"/>
    <xf numFmtId="0" fontId="33" fillId="0" borderId="1" xfId="0" applyFont="1" applyBorder="1" applyAlignment="1">
      <alignment wrapText="1"/>
    </xf>
    <xf numFmtId="167" fontId="33" fillId="0" borderId="17" xfId="1" applyNumberFormat="1" applyFont="1" applyBorder="1"/>
    <xf numFmtId="0" fontId="3" fillId="2" borderId="61" xfId="0" applyFont="1" applyFill="1" applyBorder="1" applyAlignment="1">
      <alignment horizontal="left"/>
    </xf>
    <xf numFmtId="0" fontId="33" fillId="2" borderId="0" xfId="0" applyFont="1" applyFill="1" applyAlignment="1">
      <alignment vertical="top" wrapText="1"/>
    </xf>
    <xf numFmtId="167" fontId="4" fillId="2" borderId="0" xfId="1" applyNumberFormat="1" applyFont="1" applyFill="1" applyBorder="1"/>
    <xf numFmtId="167" fontId="4" fillId="2" borderId="0" xfId="1" applyNumberFormat="1" applyFont="1" applyFill="1" applyBorder="1" applyAlignment="1">
      <alignment vertical="center"/>
    </xf>
    <xf numFmtId="167" fontId="4" fillId="2" borderId="77" xfId="1" applyNumberFormat="1" applyFont="1" applyFill="1" applyBorder="1"/>
    <xf numFmtId="167" fontId="4" fillId="0" borderId="17" xfId="1" applyNumberFormat="1" applyFont="1" applyFill="1" applyBorder="1"/>
    <xf numFmtId="0" fontId="63"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7" xfId="0" applyFont="1" applyFill="1" applyBorder="1"/>
    <xf numFmtId="0" fontId="33" fillId="0" borderId="21" xfId="0" applyFont="1" applyBorder="1"/>
    <xf numFmtId="0" fontId="33" fillId="0" borderId="22" xfId="0" applyFont="1" applyBorder="1" applyAlignment="1">
      <alignment wrapText="1"/>
    </xf>
    <xf numFmtId="164" fontId="17" fillId="3" borderId="35" xfId="6" applyBorder="1"/>
    <xf numFmtId="10" fontId="33" fillId="0" borderId="23" xfId="2" applyNumberFormat="1" applyFont="1" applyBorder="1"/>
    <xf numFmtId="167" fontId="4" fillId="0" borderId="0" xfId="0" applyNumberFormat="1" applyFont="1"/>
    <xf numFmtId="0" fontId="78" fillId="0" borderId="0" xfId="5" applyFont="1"/>
    <xf numFmtId="0" fontId="79" fillId="0" borderId="0" xfId="0" applyFont="1"/>
    <xf numFmtId="14" fontId="79" fillId="0" borderId="0" xfId="0" applyNumberFormat="1" applyFont="1" applyAlignment="1">
      <alignment horizontal="left"/>
    </xf>
    <xf numFmtId="0" fontId="80" fillId="0" borderId="0" xfId="5" applyFont="1"/>
    <xf numFmtId="0" fontId="82" fillId="0" borderId="1" xfId="0" applyFont="1" applyBorder="1" applyAlignment="1">
      <alignment horizontal="center" vertical="center" wrapText="1"/>
    </xf>
    <xf numFmtId="49" fontId="83" fillId="2" borderId="1" xfId="13" applyNumberFormat="1" applyFont="1" applyFill="1" applyBorder="1" applyAlignment="1" applyProtection="1">
      <alignment horizontal="right" vertical="center"/>
      <protection locked="0"/>
    </xf>
    <xf numFmtId="0" fontId="83" fillId="2" borderId="1" xfId="11" applyFont="1" applyFill="1" applyBorder="1" applyAlignment="1" applyProtection="1">
      <alignment horizontal="left" vertical="center" wrapText="1"/>
      <protection locked="0"/>
    </xf>
    <xf numFmtId="43" fontId="79" fillId="0" borderId="1" xfId="1" applyFont="1" applyFill="1" applyBorder="1"/>
    <xf numFmtId="43" fontId="79" fillId="0" borderId="1" xfId="1" applyFont="1" applyBorder="1"/>
    <xf numFmtId="0" fontId="79" fillId="0" borderId="1" xfId="0" applyFont="1" applyBorder="1"/>
    <xf numFmtId="43" fontId="79" fillId="0" borderId="0" xfId="0" applyNumberFormat="1" applyFont="1"/>
    <xf numFmtId="49" fontId="83" fillId="0" borderId="1" xfId="13" applyNumberFormat="1" applyFont="1" applyBorder="1" applyAlignment="1" applyProtection="1">
      <alignment horizontal="right" vertical="center"/>
      <protection locked="0"/>
    </xf>
    <xf numFmtId="0" fontId="83" fillId="0" borderId="1" xfId="11" applyFont="1" applyBorder="1" applyAlignment="1" applyProtection="1">
      <alignment horizontal="left" vertical="center" wrapText="1"/>
      <protection locked="0"/>
    </xf>
    <xf numFmtId="2" fontId="79" fillId="0" borderId="1" xfId="0" applyNumberFormat="1" applyFont="1" applyBorder="1"/>
    <xf numFmtId="0" fontId="85" fillId="0" borderId="1" xfId="11" applyFont="1" applyBorder="1" applyAlignment="1" applyProtection="1">
      <alignment horizontal="left" vertical="center" wrapText="1"/>
      <protection locked="0"/>
    </xf>
    <xf numFmtId="43" fontId="79" fillId="0" borderId="1" xfId="0" applyNumberFormat="1" applyFont="1" applyBorder="1"/>
    <xf numFmtId="49" fontId="86" fillId="0" borderId="1" xfId="13" applyNumberFormat="1" applyFont="1" applyBorder="1" applyAlignment="1" applyProtection="1">
      <alignment horizontal="right" vertical="center"/>
      <protection locked="0"/>
    </xf>
    <xf numFmtId="0" fontId="82" fillId="0" borderId="1" xfId="0" applyFont="1" applyBorder="1" applyAlignment="1">
      <alignment vertical="top" wrapText="1"/>
    </xf>
    <xf numFmtId="0" fontId="79" fillId="15" borderId="0" xfId="0" applyFont="1" applyFill="1"/>
    <xf numFmtId="0" fontId="78" fillId="0" borderId="0" xfId="0" applyFont="1"/>
    <xf numFmtId="0" fontId="78" fillId="0" borderId="0" xfId="0" applyFont="1" applyAlignment="1">
      <alignment wrapText="1"/>
    </xf>
    <xf numFmtId="0" fontId="78" fillId="0" borderId="1" xfId="0" applyFont="1" applyBorder="1" applyAlignment="1">
      <alignment horizontal="center" vertical="center"/>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11" xfId="0" applyFont="1" applyBorder="1" applyAlignment="1">
      <alignment horizontal="center" vertical="center" wrapText="1"/>
    </xf>
    <xf numFmtId="49" fontId="83" fillId="2" borderId="1" xfId="13" applyNumberFormat="1" applyFont="1" applyFill="1" applyBorder="1" applyAlignment="1" applyProtection="1">
      <alignment horizontal="right" vertical="center" wrapText="1"/>
      <protection locked="0"/>
    </xf>
    <xf numFmtId="43" fontId="78" fillId="0" borderId="1" xfId="1" applyFont="1" applyBorder="1"/>
    <xf numFmtId="43" fontId="78" fillId="0" borderId="1" xfId="1" applyFont="1" applyFill="1" applyBorder="1"/>
    <xf numFmtId="0" fontId="78" fillId="0" borderId="1" xfId="0" applyFont="1" applyBorder="1"/>
    <xf numFmtId="173" fontId="78" fillId="5" borderId="1" xfId="23" applyFont="1" applyFill="1" applyBorder="1"/>
    <xf numFmtId="43" fontId="78" fillId="0" borderId="1" xfId="1" applyFont="1" applyBorder="1" applyAlignment="1">
      <alignment horizontal="right"/>
    </xf>
    <xf numFmtId="49" fontId="83" fillId="0" borderId="1" xfId="13" applyNumberFormat="1" applyFont="1" applyBorder="1" applyAlignment="1" applyProtection="1">
      <alignment horizontal="right" vertical="center" wrapText="1"/>
      <protection locked="0"/>
    </xf>
    <xf numFmtId="43" fontId="78" fillId="0" borderId="1" xfId="1" applyFont="1" applyFill="1" applyBorder="1" applyAlignment="1">
      <alignment horizontal="right"/>
    </xf>
    <xf numFmtId="49" fontId="86" fillId="0" borderId="1" xfId="13" applyNumberFormat="1" applyFont="1" applyBorder="1" applyAlignment="1" applyProtection="1">
      <alignment horizontal="right" vertical="center" wrapText="1"/>
      <protection locked="0"/>
    </xf>
    <xf numFmtId="0" fontId="81" fillId="0" borderId="1" xfId="0" applyFont="1" applyBorder="1"/>
    <xf numFmtId="43" fontId="81" fillId="0" borderId="1" xfId="1" applyFont="1" applyBorder="1" applyAlignment="1">
      <alignment horizontal="right"/>
    </xf>
    <xf numFmtId="0" fontId="82" fillId="0" borderId="0" xfId="0" applyFont="1"/>
    <xf numFmtId="0" fontId="78" fillId="0" borderId="1" xfId="0" applyFont="1" applyBorder="1" applyAlignment="1">
      <alignment wrapText="1"/>
    </xf>
    <xf numFmtId="0" fontId="78" fillId="0" borderId="1" xfId="0" applyFont="1" applyBorder="1" applyAlignment="1">
      <alignment vertical="top" wrapText="1"/>
    </xf>
    <xf numFmtId="0" fontId="78" fillId="0" borderId="1" xfId="0" applyFont="1" applyBorder="1" applyAlignment="1">
      <alignment horizontal="left" indent="8"/>
    </xf>
    <xf numFmtId="0" fontId="79" fillId="0" borderId="0" xfId="0" applyFont="1" applyAlignment="1">
      <alignment wrapText="1"/>
    </xf>
    <xf numFmtId="0" fontId="84" fillId="0" borderId="0" xfId="0" applyFont="1"/>
    <xf numFmtId="0" fontId="78" fillId="0" borderId="8" xfId="0" applyFont="1" applyBorder="1" applyAlignment="1">
      <alignment horizontal="center" vertical="center" wrapText="1"/>
    </xf>
    <xf numFmtId="9" fontId="79" fillId="0" borderId="0" xfId="0" applyNumberFormat="1" applyFont="1"/>
    <xf numFmtId="0" fontId="0" fillId="0" borderId="0" xfId="0" applyAlignment="1">
      <alignment horizontal="left"/>
    </xf>
    <xf numFmtId="0" fontId="78" fillId="0" borderId="1" xfId="0" applyFont="1" applyBorder="1" applyAlignment="1">
      <alignment horizontal="left" vertical="center" wrapText="1"/>
    </xf>
    <xf numFmtId="0" fontId="88" fillId="15" borderId="85" xfId="0" applyFont="1" applyFill="1" applyBorder="1"/>
    <xf numFmtId="0" fontId="88" fillId="0" borderId="85" xfId="0" applyFont="1" applyBorder="1"/>
    <xf numFmtId="43" fontId="81" fillId="0" borderId="1" xfId="1" applyFont="1" applyBorder="1"/>
    <xf numFmtId="43" fontId="84" fillId="0" borderId="0" xfId="0" applyNumberFormat="1" applyFont="1"/>
    <xf numFmtId="167" fontId="79" fillId="0" borderId="0" xfId="1" applyNumberFormat="1" applyFont="1"/>
    <xf numFmtId="0" fontId="81" fillId="0" borderId="1" xfId="0" applyFont="1" applyBorder="1" applyAlignment="1">
      <alignment horizontal="left" indent="1"/>
    </xf>
    <xf numFmtId="0" fontId="81" fillId="0" borderId="1" xfId="0" applyFont="1" applyBorder="1" applyAlignment="1">
      <alignment horizontal="left" wrapText="1" indent="1"/>
    </xf>
    <xf numFmtId="43" fontId="82" fillId="0" borderId="1" xfId="1" applyFont="1" applyBorder="1"/>
    <xf numFmtId="0" fontId="78" fillId="0" borderId="1" xfId="0" applyFont="1" applyBorder="1" applyAlignment="1">
      <alignment horizontal="left" indent="1"/>
    </xf>
    <xf numFmtId="0" fontId="78" fillId="0" borderId="1" xfId="0" applyFont="1" applyBorder="1" applyAlignment="1">
      <alignment horizontal="left" indent="3"/>
    </xf>
    <xf numFmtId="0" fontId="78" fillId="0" borderId="1" xfId="0" applyFont="1" applyBorder="1" applyAlignment="1">
      <alignment horizontal="left" wrapText="1" indent="4"/>
    </xf>
    <xf numFmtId="0" fontId="78" fillId="0" borderId="1" xfId="0" applyFont="1" applyBorder="1" applyAlignment="1">
      <alignment horizontal="left" wrapText="1" indent="1"/>
    </xf>
    <xf numFmtId="0" fontId="81" fillId="0" borderId="1" xfId="0" applyFont="1" applyBorder="1" applyAlignment="1">
      <alignment horizontal="left" vertical="center" indent="1"/>
    </xf>
    <xf numFmtId="167" fontId="84" fillId="0" borderId="0" xfId="0" applyNumberFormat="1" applyFont="1"/>
    <xf numFmtId="0" fontId="79" fillId="0" borderId="0" xfId="0" applyFont="1" applyAlignment="1">
      <alignment vertical="top" wrapText="1"/>
    </xf>
    <xf numFmtId="43" fontId="78" fillId="0" borderId="0" xfId="0" applyNumberFormat="1" applyFont="1"/>
    <xf numFmtId="0" fontId="81" fillId="0" borderId="1" xfId="0" applyFont="1" applyBorder="1" applyAlignment="1">
      <alignment horizontal="center" vertical="center" wrapText="1"/>
    </xf>
    <xf numFmtId="0" fontId="78" fillId="16" borderId="1" xfId="0" applyFont="1" applyFill="1" applyBorder="1"/>
    <xf numFmtId="0" fontId="78" fillId="0" borderId="1" xfId="0" applyFont="1" applyBorder="1" applyAlignment="1">
      <alignment horizontal="left" wrapText="1"/>
    </xf>
    <xf numFmtId="0" fontId="78" fillId="0" borderId="1" xfId="0" applyFont="1" applyBorder="1" applyAlignment="1">
      <alignment horizontal="left" wrapText="1" indent="2"/>
    </xf>
    <xf numFmtId="0" fontId="81" fillId="0" borderId="11" xfId="0" applyFont="1" applyBorder="1"/>
    <xf numFmtId="0" fontId="78" fillId="0" borderId="0" xfId="0" applyFont="1" applyAlignment="1">
      <alignment horizontal="center" vertical="center"/>
    </xf>
    <xf numFmtId="0" fontId="78" fillId="0" borderId="0" xfId="0" applyFont="1" applyAlignment="1">
      <alignment horizontal="center"/>
    </xf>
    <xf numFmtId="0" fontId="78" fillId="0" borderId="4"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0" xfId="0" applyFont="1" applyAlignment="1">
      <alignment horizontal="center" vertical="center" wrapText="1"/>
    </xf>
    <xf numFmtId="0" fontId="78" fillId="0" borderId="29" xfId="0" applyFont="1" applyBorder="1" applyAlignment="1">
      <alignment horizontal="center" vertical="center" wrapText="1"/>
    </xf>
    <xf numFmtId="0" fontId="78" fillId="0" borderId="11" xfId="0" applyFont="1" applyBorder="1" applyAlignment="1">
      <alignment wrapText="1"/>
    </xf>
    <xf numFmtId="0" fontId="78" fillId="0" borderId="14" xfId="0" applyFont="1" applyBorder="1" applyAlignment="1">
      <alignment wrapText="1"/>
    </xf>
    <xf numFmtId="0" fontId="78" fillId="0" borderId="1" xfId="0" applyFont="1" applyBorder="1" applyAlignment="1">
      <alignment horizontal="center"/>
    </xf>
    <xf numFmtId="0" fontId="81" fillId="0" borderId="1" xfId="0" applyFont="1" applyBorder="1" applyAlignment="1">
      <alignment vertical="top" wrapText="1"/>
    </xf>
    <xf numFmtId="0" fontId="81" fillId="6" borderId="1" xfId="0" applyFont="1" applyFill="1" applyBorder="1"/>
    <xf numFmtId="14" fontId="78" fillId="0" borderId="0" xfId="0" applyNumberFormat="1" applyFont="1"/>
    <xf numFmtId="0" fontId="78" fillId="0" borderId="13" xfId="0" applyFont="1" applyBorder="1" applyAlignment="1">
      <alignment horizontal="left" indent="1"/>
    </xf>
    <xf numFmtId="49" fontId="78" fillId="0" borderId="17" xfId="0" applyNumberFormat="1" applyFont="1" applyBorder="1" applyAlignment="1">
      <alignment horizontal="left" indent="1"/>
    </xf>
    <xf numFmtId="43" fontId="78" fillId="17" borderId="13" xfId="1" applyFont="1" applyFill="1" applyBorder="1"/>
    <xf numFmtId="0" fontId="78" fillId="17" borderId="1" xfId="0" applyFont="1" applyFill="1" applyBorder="1"/>
    <xf numFmtId="0" fontId="78" fillId="17" borderId="17" xfId="0" applyFont="1" applyFill="1" applyBorder="1"/>
    <xf numFmtId="49" fontId="78" fillId="0" borderId="13" xfId="0" applyNumberFormat="1" applyFont="1" applyBorder="1" applyAlignment="1">
      <alignment horizontal="left" wrapText="1" indent="2"/>
    </xf>
    <xf numFmtId="43" fontId="78" fillId="0" borderId="13" xfId="1" applyFont="1" applyBorder="1" applyAlignment="1">
      <alignment horizontal="left" vertical="center" wrapText="1" indent="2"/>
    </xf>
    <xf numFmtId="0" fontId="78" fillId="0" borderId="17" xfId="0" applyFont="1" applyBorder="1"/>
    <xf numFmtId="49" fontId="78" fillId="0" borderId="13" xfId="0" applyNumberFormat="1" applyFont="1" applyBorder="1" applyAlignment="1">
      <alignment horizontal="left" wrapText="1" indent="3"/>
    </xf>
    <xf numFmtId="49" fontId="78" fillId="0" borderId="17" xfId="0" applyNumberFormat="1" applyFont="1" applyBorder="1" applyAlignment="1">
      <alignment horizontal="left" wrapText="1" indent="2"/>
    </xf>
    <xf numFmtId="49" fontId="78" fillId="0" borderId="17" xfId="0" applyNumberFormat="1" applyFont="1" applyBorder="1" applyAlignment="1">
      <alignment horizontal="left" wrapText="1" indent="3"/>
    </xf>
    <xf numFmtId="0" fontId="78" fillId="0" borderId="13" xfId="0" applyFont="1" applyBorder="1" applyAlignment="1">
      <alignment horizontal="left" wrapText="1" indent="1"/>
    </xf>
    <xf numFmtId="49" fontId="78" fillId="0" borderId="17" xfId="0" applyNumberFormat="1" applyFont="1" applyBorder="1" applyAlignment="1">
      <alignment horizontal="left" wrapText="1" indent="1"/>
    </xf>
    <xf numFmtId="43" fontId="78" fillId="0" borderId="13" xfId="1" applyFont="1" applyBorder="1" applyAlignment="1">
      <alignment horizontal="left" wrapText="1" indent="1"/>
    </xf>
    <xf numFmtId="0" fontId="78" fillId="0" borderId="21" xfId="0" applyFont="1" applyBorder="1" applyAlignment="1">
      <alignment horizontal="left" wrapText="1" indent="1"/>
    </xf>
    <xf numFmtId="49" fontId="78" fillId="0" borderId="23" xfId="0" applyNumberFormat="1" applyFont="1" applyBorder="1" applyAlignment="1">
      <alignment vertical="top" wrapText="1"/>
    </xf>
    <xf numFmtId="43" fontId="78" fillId="0" borderId="21" xfId="1" applyFont="1" applyBorder="1" applyAlignment="1">
      <alignment horizontal="left" wrapText="1" indent="1"/>
    </xf>
    <xf numFmtId="43" fontId="78" fillId="0" borderId="22" xfId="1" applyFont="1" applyBorder="1"/>
    <xf numFmtId="0" fontId="78" fillId="0" borderId="22" xfId="0" applyFont="1" applyBorder="1"/>
    <xf numFmtId="0" fontId="78" fillId="0" borderId="23" xfId="0" applyFont="1" applyBorder="1"/>
    <xf numFmtId="0" fontId="81" fillId="0" borderId="28" xfId="0" applyFont="1" applyBorder="1" applyAlignment="1">
      <alignment horizontal="left" vertical="center" wrapText="1"/>
    </xf>
    <xf numFmtId="43" fontId="78" fillId="0" borderId="1" xfId="1" applyFont="1" applyBorder="1" applyAlignment="1">
      <alignment horizontal="left" vertical="center" wrapText="1"/>
    </xf>
    <xf numFmtId="0" fontId="81" fillId="0" borderId="1" xfId="0" applyFont="1" applyBorder="1" applyAlignment="1">
      <alignment horizontal="left" vertical="center" wrapText="1"/>
    </xf>
    <xf numFmtId="43" fontId="81" fillId="0" borderId="1" xfId="0" applyNumberFormat="1" applyFont="1" applyBorder="1" applyAlignment="1">
      <alignment horizontal="left" vertical="center" wrapText="1"/>
    </xf>
    <xf numFmtId="0" fontId="83" fillId="0" borderId="0" xfId="0" applyFont="1"/>
    <xf numFmtId="0" fontId="83" fillId="0" borderId="0" xfId="0" applyFont="1" applyAlignment="1">
      <alignment horizontal="center" vertical="center"/>
    </xf>
    <xf numFmtId="0" fontId="90" fillId="0" borderId="0" xfId="0" applyFont="1"/>
    <xf numFmtId="0" fontId="91" fillId="0" borderId="0" xfId="0" applyFont="1"/>
    <xf numFmtId="43" fontId="90" fillId="0" borderId="0" xfId="0" applyNumberFormat="1" applyFont="1"/>
    <xf numFmtId="167" fontId="90" fillId="0" borderId="0" xfId="1" applyNumberFormat="1" applyFont="1"/>
    <xf numFmtId="167" fontId="78" fillId="0" borderId="1" xfId="1" applyNumberFormat="1" applyFont="1" applyBorder="1"/>
    <xf numFmtId="4" fontId="91" fillId="0" borderId="0" xfId="0" applyNumberFormat="1" applyFont="1"/>
    <xf numFmtId="43" fontId="91" fillId="0" borderId="0" xfId="0" applyNumberFormat="1" applyFont="1"/>
    <xf numFmtId="43" fontId="83" fillId="0" borderId="1" xfId="1" applyFont="1" applyBorder="1"/>
    <xf numFmtId="43" fontId="83" fillId="0" borderId="1" xfId="1" applyFont="1" applyFill="1" applyBorder="1"/>
    <xf numFmtId="43" fontId="90" fillId="0" borderId="0" xfId="1" applyFont="1"/>
    <xf numFmtId="0" fontId="9" fillId="0" borderId="0" xfId="0" applyFont="1" applyAlignment="1">
      <alignment wrapText="1"/>
    </xf>
    <xf numFmtId="167" fontId="90" fillId="0" borderId="0" xfId="1" applyNumberFormat="1" applyFont="1" applyFill="1"/>
    <xf numFmtId="0" fontId="91" fillId="0" borderId="0" xfId="0" applyFont="1" applyAlignment="1">
      <alignment vertical="top" wrapText="1"/>
    </xf>
    <xf numFmtId="0" fontId="65" fillId="0" borderId="0" xfId="0" applyFont="1"/>
    <xf numFmtId="0" fontId="65" fillId="0" borderId="11" xfId="0" applyFont="1" applyBorder="1"/>
    <xf numFmtId="0" fontId="83" fillId="0" borderId="1" xfId="0" applyFont="1" applyBorder="1" applyAlignment="1">
      <alignment horizontal="left" indent="2"/>
    </xf>
    <xf numFmtId="0" fontId="78" fillId="0" borderId="90" xfId="0" applyFont="1" applyBorder="1" applyAlignment="1">
      <alignment vertical="center" wrapText="1" readingOrder="1"/>
    </xf>
    <xf numFmtId="43" fontId="83" fillId="0" borderId="1" xfId="0" applyNumberFormat="1" applyFont="1" applyBorder="1"/>
    <xf numFmtId="0" fontId="83" fillId="0" borderId="1" xfId="0" applyFont="1" applyBorder="1"/>
    <xf numFmtId="9" fontId="83" fillId="0" borderId="1" xfId="0" applyNumberFormat="1" applyFont="1" applyBorder="1"/>
    <xf numFmtId="0" fontId="78" fillId="0" borderId="91" xfId="0" applyFont="1" applyBorder="1" applyAlignment="1">
      <alignment vertical="center" wrapText="1" readingOrder="1"/>
    </xf>
    <xf numFmtId="0" fontId="65" fillId="6" borderId="0" xfId="0" applyFont="1" applyFill="1"/>
    <xf numFmtId="0" fontId="65" fillId="15" borderId="0" xfId="0" applyFont="1" applyFill="1"/>
    <xf numFmtId="0" fontId="83" fillId="0" borderId="2" xfId="0" applyFont="1" applyBorder="1" applyAlignment="1">
      <alignment horizontal="left" indent="2"/>
    </xf>
    <xf numFmtId="0" fontId="78" fillId="0" borderId="92" xfId="0" applyFont="1" applyBorder="1" applyAlignment="1">
      <alignment vertical="center" wrapText="1" readingOrder="1"/>
    </xf>
    <xf numFmtId="43" fontId="83" fillId="0" borderId="2" xfId="1" applyFont="1" applyBorder="1"/>
    <xf numFmtId="0" fontId="81" fillId="0" borderId="1" xfId="0" applyFont="1" applyBorder="1" applyAlignment="1">
      <alignment vertical="center" wrapText="1" readingOrder="1"/>
    </xf>
    <xf numFmtId="0" fontId="83" fillId="0" borderId="1" xfId="0" applyFont="1" applyBorder="1" applyAlignment="1">
      <alignment horizontal="left" indent="3"/>
    </xf>
    <xf numFmtId="0" fontId="78" fillId="0" borderId="91" xfId="0" applyFont="1" applyBorder="1" applyAlignment="1">
      <alignment horizontal="left" vertical="center" wrapText="1" indent="1" readingOrder="1"/>
    </xf>
    <xf numFmtId="0" fontId="65" fillId="0" borderId="0" xfId="0" applyFont="1" applyAlignment="1">
      <alignment vertical="top" wrapText="1"/>
    </xf>
    <xf numFmtId="43" fontId="65" fillId="0" borderId="0" xfId="0" applyNumberFormat="1" applyFont="1"/>
    <xf numFmtId="43" fontId="28" fillId="0" borderId="0" xfId="1" applyFont="1" applyFill="1"/>
    <xf numFmtId="43" fontId="0" fillId="0" borderId="1" xfId="1" applyFont="1" applyFill="1" applyBorder="1"/>
    <xf numFmtId="0" fontId="38" fillId="0" borderId="6" xfId="0" applyFont="1" applyBorder="1" applyAlignment="1">
      <alignment vertical="center" wrapText="1"/>
    </xf>
    <xf numFmtId="10" fontId="4" fillId="0" borderId="18" xfId="2" applyNumberFormat="1" applyFont="1" applyBorder="1" applyAlignment="1">
      <alignment horizontal="center" vertical="center"/>
    </xf>
    <xf numFmtId="0" fontId="40" fillId="0" borderId="0" xfId="0" applyFont="1"/>
    <xf numFmtId="0" fontId="40" fillId="0" borderId="0" xfId="0" applyFont="1" applyAlignment="1">
      <alignment horizontal="left" vertical="center" wrapText="1"/>
    </xf>
    <xf numFmtId="0" fontId="40" fillId="0" borderId="0" xfId="0" applyFont="1" applyAlignment="1">
      <alignment vertical="center" wrapText="1"/>
    </xf>
    <xf numFmtId="49" fontId="40" fillId="0" borderId="0" xfId="0" applyNumberFormat="1" applyFont="1" applyAlignment="1">
      <alignment horizontal="right" vertical="center"/>
    </xf>
    <xf numFmtId="0" fontId="78" fillId="0" borderId="0" xfId="0" applyFont="1" applyAlignment="1">
      <alignment vertical="center" wrapText="1"/>
    </xf>
    <xf numFmtId="0" fontId="91" fillId="0" borderId="0" xfId="0" applyFont="1" applyAlignment="1">
      <alignment horizontal="left" vertical="center" wrapText="1"/>
    </xf>
    <xf numFmtId="0" fontId="78" fillId="0" borderId="0" xfId="0" applyFont="1" applyAlignment="1">
      <alignment horizontal="left" vertical="center" wrapText="1"/>
    </xf>
    <xf numFmtId="0" fontId="93" fillId="0" borderId="0" xfId="0" applyFont="1" applyAlignment="1">
      <alignment horizontal="left" vertical="center" wrapText="1" readingOrder="1"/>
    </xf>
    <xf numFmtId="0" fontId="91" fillId="0" borderId="0" xfId="0" applyFont="1" applyAlignment="1">
      <alignment horizontal="left" indent="2"/>
    </xf>
    <xf numFmtId="0" fontId="78" fillId="0" borderId="0" xfId="0" applyFont="1" applyAlignment="1">
      <alignment horizontal="left" vertical="center" indent="1"/>
    </xf>
    <xf numFmtId="0" fontId="40" fillId="0" borderId="1" xfId="0" applyFont="1" applyBorder="1" applyAlignment="1">
      <alignment vertical="center" wrapText="1"/>
    </xf>
    <xf numFmtId="0" fontId="40" fillId="0" borderId="1" xfId="0" applyFont="1" applyBorder="1" applyAlignment="1">
      <alignment horizontal="left" vertical="center" wrapText="1"/>
    </xf>
    <xf numFmtId="0" fontId="94" fillId="0" borderId="1" xfId="0" applyFont="1" applyBorder="1" applyAlignment="1">
      <alignment vertical="center" wrapText="1"/>
    </xf>
    <xf numFmtId="0" fontId="40" fillId="0" borderId="1" xfId="0" applyFont="1" applyBorder="1" applyAlignment="1">
      <alignment horizontal="left" vertical="center" wrapText="1" readingOrder="1"/>
    </xf>
    <xf numFmtId="0" fontId="40" fillId="0" borderId="2" xfId="0" applyFont="1" applyBorder="1" applyAlignment="1">
      <alignment vertical="center" wrapText="1"/>
    </xf>
    <xf numFmtId="0" fontId="40" fillId="0" borderId="92" xfId="0" applyFont="1" applyBorder="1" applyAlignment="1">
      <alignment horizontal="left" vertical="center" wrapText="1" readingOrder="1"/>
    </xf>
    <xf numFmtId="0" fontId="40" fillId="0" borderId="2" xfId="0" applyFont="1" applyBorder="1" applyAlignment="1">
      <alignment horizontal="left" indent="2"/>
    </xf>
    <xf numFmtId="0" fontId="40" fillId="0" borderId="1" xfId="0" applyFont="1" applyBorder="1" applyAlignment="1">
      <alignment horizontal="left" indent="2"/>
    </xf>
    <xf numFmtId="0" fontId="40" fillId="0" borderId="1" xfId="0" applyFont="1" applyBorder="1" applyAlignment="1">
      <alignment horizontal="left" vertical="center" indent="1"/>
    </xf>
    <xf numFmtId="0" fontId="40" fillId="0" borderId="1" xfId="0" applyFont="1" applyBorder="1" applyAlignment="1">
      <alignment horizontal="left" vertical="center" wrapText="1" indent="1"/>
    </xf>
    <xf numFmtId="0" fontId="79" fillId="0" borderId="0" xfId="0" applyFont="1" applyAlignment="1">
      <alignment horizontal="left" wrapText="1" indent="1"/>
    </xf>
    <xf numFmtId="49" fontId="79" fillId="0" borderId="0" xfId="0" applyNumberFormat="1" applyFont="1" applyAlignment="1">
      <alignment horizontal="left" wrapText="1" indent="3"/>
    </xf>
    <xf numFmtId="49" fontId="79" fillId="0" borderId="0" xfId="0" applyNumberFormat="1" applyFont="1" applyAlignment="1">
      <alignment horizontal="left" wrapText="1" indent="2"/>
    </xf>
    <xf numFmtId="0" fontId="40" fillId="0" borderId="1" xfId="0" applyFont="1" applyBorder="1" applyAlignment="1">
      <alignment horizontal="left" vertical="top" wrapText="1"/>
    </xf>
    <xf numFmtId="0" fontId="40" fillId="0" borderId="1" xfId="0" applyFont="1" applyBorder="1" applyAlignment="1">
      <alignment horizontal="right" vertical="center"/>
    </xf>
    <xf numFmtId="49" fontId="79" fillId="0" borderId="0" xfId="0" applyNumberFormat="1" applyFont="1" applyAlignment="1">
      <alignment horizontal="left" indent="1"/>
    </xf>
    <xf numFmtId="49" fontId="40" fillId="0" borderId="1" xfId="0" applyNumberFormat="1" applyFont="1" applyBorder="1" applyAlignment="1">
      <alignment horizontal="right" vertical="center"/>
    </xf>
    <xf numFmtId="49" fontId="79" fillId="0" borderId="0" xfId="0" applyNumberFormat="1" applyFont="1" applyAlignment="1">
      <alignment horizontal="left" indent="3"/>
    </xf>
    <xf numFmtId="0" fontId="94" fillId="0" borderId="2" xfId="0" applyFont="1" applyBorder="1" applyAlignment="1">
      <alignment horizontal="left" vertical="top" wrapText="1"/>
    </xf>
    <xf numFmtId="49" fontId="40" fillId="0" borderId="1" xfId="0" applyNumberFormat="1" applyFont="1" applyBorder="1" applyAlignment="1">
      <alignment vertical="top" wrapText="1"/>
    </xf>
    <xf numFmtId="49" fontId="40" fillId="0" borderId="1" xfId="0" applyNumberFormat="1" applyFont="1" applyBorder="1" applyAlignment="1">
      <alignment horizontal="left" vertical="top" wrapText="1" indent="2"/>
    </xf>
    <xf numFmtId="0" fontId="79" fillId="0" borderId="0" xfId="0" applyFont="1" applyAlignment="1">
      <alignment horizontal="left" indent="2"/>
    </xf>
    <xf numFmtId="0" fontId="79" fillId="0" borderId="0" xfId="0" applyFont="1" applyAlignment="1">
      <alignment horizontal="left" indent="1"/>
    </xf>
    <xf numFmtId="49" fontId="40" fillId="0" borderId="1" xfId="0" applyNumberFormat="1" applyFont="1" applyBorder="1" applyAlignment="1">
      <alignment horizontal="left" vertical="center" wrapText="1" indent="3"/>
    </xf>
    <xf numFmtId="49" fontId="40" fillId="0" borderId="1" xfId="0" applyNumberFormat="1" applyFont="1" applyBorder="1" applyAlignment="1">
      <alignment horizontal="left" wrapText="1" indent="2"/>
    </xf>
    <xf numFmtId="49" fontId="40" fillId="0" borderId="1" xfId="0" applyNumberFormat="1" applyFont="1" applyBorder="1" applyAlignment="1">
      <alignment horizontal="left" vertical="top" wrapText="1"/>
    </xf>
    <xf numFmtId="49" fontId="40" fillId="0" borderId="1" xfId="0" applyNumberFormat="1" applyFont="1" applyBorder="1" applyAlignment="1">
      <alignment horizontal="left" wrapText="1" indent="3"/>
    </xf>
    <xf numFmtId="49" fontId="40" fillId="0" borderId="1" xfId="0" applyNumberFormat="1" applyFont="1" applyBorder="1" applyAlignment="1">
      <alignment vertical="center"/>
    </xf>
    <xf numFmtId="49" fontId="40" fillId="0" borderId="1" xfId="0" applyNumberFormat="1" applyFont="1" applyBorder="1" applyAlignment="1">
      <alignment horizontal="left" indent="3"/>
    </xf>
    <xf numFmtId="0" fontId="40" fillId="0" borderId="1" xfId="0" applyFont="1" applyBorder="1" applyAlignment="1">
      <alignment horizontal="left" indent="1"/>
    </xf>
    <xf numFmtId="0" fontId="40" fillId="0" borderId="1" xfId="0" applyFont="1" applyBorder="1" applyAlignment="1">
      <alignment horizontal="left" wrapText="1" indent="2"/>
    </xf>
    <xf numFmtId="0" fontId="92" fillId="0" borderId="11" xfId="0" applyFont="1" applyBorder="1" applyAlignment="1">
      <alignment wrapText="1"/>
    </xf>
    <xf numFmtId="0" fontId="40" fillId="0" borderId="1" xfId="0" applyFont="1" applyBorder="1" applyAlignment="1">
      <alignment horizontal="left" vertical="top" wrapText="1" indent="2"/>
    </xf>
    <xf numFmtId="0" fontId="40" fillId="0" borderId="1" xfId="0" applyFont="1" applyBorder="1" applyAlignment="1">
      <alignment horizontal="left" wrapText="1"/>
    </xf>
    <xf numFmtId="0" fontId="40" fillId="0" borderId="1" xfId="24" applyFont="1" applyBorder="1" applyAlignment="1">
      <alignment horizontal="left" vertical="center" wrapText="1" indent="2"/>
    </xf>
    <xf numFmtId="0" fontId="40" fillId="0" borderId="1" xfId="0" applyFont="1" applyBorder="1" applyAlignment="1">
      <alignment wrapText="1"/>
    </xf>
    <xf numFmtId="0" fontId="40" fillId="0" borderId="1" xfId="0" applyFont="1" applyBorder="1"/>
    <xf numFmtId="0" fontId="40" fillId="0" borderId="1" xfId="24" applyFont="1" applyBorder="1" applyAlignment="1">
      <alignment horizontal="left" vertical="center" wrapText="1"/>
    </xf>
    <xf numFmtId="0" fontId="92" fillId="0" borderId="1" xfId="0" applyFont="1" applyBorder="1" applyAlignment="1">
      <alignment wrapText="1"/>
    </xf>
    <xf numFmtId="0" fontId="96" fillId="0" borderId="0" xfId="0" applyFont="1"/>
    <xf numFmtId="0" fontId="94" fillId="0" borderId="1" xfId="24" applyFont="1" applyBorder="1" applyAlignment="1">
      <alignment horizontal="left" vertical="center" wrapText="1"/>
    </xf>
    <xf numFmtId="0" fontId="40" fillId="2" borderId="1" xfId="13" applyFont="1" applyFill="1" applyBorder="1" applyAlignment="1" applyProtection="1">
      <alignment horizontal="right" vertical="center"/>
      <protection locked="0"/>
    </xf>
    <xf numFmtId="2" fontId="40" fillId="2" borderId="1" xfId="13" applyNumberFormat="1" applyFont="1" applyFill="1" applyBorder="1" applyAlignment="1" applyProtection="1">
      <alignment horizontal="right" vertical="center"/>
      <protection locked="0"/>
    </xf>
    <xf numFmtId="0" fontId="40" fillId="0" borderId="1" xfId="0" applyFont="1" applyBorder="1" applyAlignment="1">
      <alignment vertical="center"/>
    </xf>
    <xf numFmtId="0" fontId="40" fillId="0" borderId="8" xfId="11" applyFont="1" applyBorder="1" applyAlignment="1" applyProtection="1">
      <alignment horizontal="left" vertical="top" wrapText="1"/>
      <protection locked="0"/>
    </xf>
    <xf numFmtId="0" fontId="40" fillId="0" borderId="6" xfId="11" applyFont="1" applyBorder="1" applyAlignment="1" applyProtection="1">
      <alignment horizontal="left" vertical="top" wrapText="1"/>
      <protection locked="0"/>
    </xf>
    <xf numFmtId="0" fontId="40" fillId="0" borderId="95" xfId="0" applyFont="1" applyBorder="1" applyAlignment="1">
      <alignment horizontal="left" vertical="center" wrapText="1"/>
    </xf>
    <xf numFmtId="0" fontId="40" fillId="0" borderId="95" xfId="0" applyFont="1" applyBorder="1" applyAlignment="1">
      <alignment vertical="center" wrapText="1"/>
    </xf>
    <xf numFmtId="0" fontId="40" fillId="0" borderId="95" xfId="0" applyFont="1" applyBorder="1" applyAlignment="1">
      <alignment horizontal="right" vertical="center"/>
    </xf>
    <xf numFmtId="0" fontId="40" fillId="0" borderId="96" xfId="0" applyFont="1" applyBorder="1" applyAlignment="1">
      <alignment horizontal="left" vertical="center"/>
    </xf>
    <xf numFmtId="0" fontId="40" fillId="0" borderId="96" xfId="0" applyFont="1" applyBorder="1" applyAlignment="1">
      <alignment horizontal="right" vertical="center"/>
    </xf>
    <xf numFmtId="49" fontId="40" fillId="0" borderId="101" xfId="0" applyNumberFormat="1" applyFont="1" applyBorder="1" applyAlignment="1">
      <alignment horizontal="right" vertical="center"/>
    </xf>
    <xf numFmtId="49" fontId="40" fillId="0" borderId="11" xfId="0" applyNumberFormat="1" applyFont="1" applyBorder="1" applyAlignment="1">
      <alignment horizontal="right" vertical="center"/>
    </xf>
    <xf numFmtId="49" fontId="40" fillId="0" borderId="107" xfId="0" applyNumberFormat="1" applyFont="1" applyBorder="1" applyAlignment="1">
      <alignment horizontal="right" vertical="center"/>
    </xf>
    <xf numFmtId="0" fontId="40" fillId="0" borderId="0" xfId="0" applyFont="1" applyAlignment="1">
      <alignment wrapText="1"/>
    </xf>
    <xf numFmtId="49" fontId="94" fillId="0" borderId="1" xfId="0" applyNumberFormat="1" applyFont="1" applyBorder="1" applyAlignment="1">
      <alignment horizontal="right" vertical="center"/>
    </xf>
    <xf numFmtId="0" fontId="40" fillId="0" borderId="0" xfId="0" applyFont="1" applyAlignment="1">
      <alignment horizontal="left"/>
    </xf>
    <xf numFmtId="49" fontId="40" fillId="0" borderId="95" xfId="0" applyNumberFormat="1" applyFont="1" applyBorder="1" applyAlignment="1">
      <alignment horizontal="right" vertical="center"/>
    </xf>
    <xf numFmtId="167" fontId="4" fillId="5" borderId="17" xfId="1" applyNumberFormat="1" applyFont="1" applyFill="1" applyBorder="1" applyAlignment="1">
      <alignment horizontal="right" vertical="center" wrapText="1"/>
    </xf>
    <xf numFmtId="169" fontId="58" fillId="0" borderId="56" xfId="0" applyNumberFormat="1" applyFont="1" applyBorder="1" applyAlignment="1">
      <alignment horizontal="center"/>
    </xf>
    <xf numFmtId="167" fontId="2" fillId="0" borderId="0" xfId="1" applyNumberFormat="1" applyFont="1" applyFill="1"/>
    <xf numFmtId="167" fontId="20" fillId="0" borderId="0" xfId="1" applyNumberFormat="1" applyFont="1" applyFill="1"/>
    <xf numFmtId="165" fontId="4" fillId="0" borderId="0" xfId="0" applyNumberFormat="1" applyFont="1"/>
    <xf numFmtId="168" fontId="72" fillId="0" borderId="1" xfId="20" applyNumberFormat="1" applyFont="1" applyFill="1" applyBorder="1" applyAlignment="1" applyProtection="1">
      <alignment horizontal="right" vertical="center"/>
      <protection locked="0"/>
    </xf>
    <xf numFmtId="43" fontId="20" fillId="0" borderId="0" xfId="1" applyFont="1" applyFill="1"/>
    <xf numFmtId="167" fontId="87" fillId="0" borderId="0" xfId="1" applyNumberFormat="1" applyFont="1" applyFill="1"/>
    <xf numFmtId="167" fontId="78" fillId="0" borderId="1" xfId="1" applyNumberFormat="1" applyFont="1" applyFill="1" applyBorder="1"/>
    <xf numFmtId="43" fontId="78" fillId="0" borderId="0" xfId="1" applyFont="1" applyFill="1"/>
    <xf numFmtId="43" fontId="87" fillId="0" borderId="0" xfId="0" applyNumberFormat="1" applyFont="1"/>
    <xf numFmtId="0" fontId="78" fillId="0" borderId="0" xfId="5" applyFont="1" applyAlignment="1">
      <alignment vertical="top" wrapText="1"/>
    </xf>
    <xf numFmtId="43" fontId="81" fillId="0" borderId="1" xfId="1" applyFont="1" applyFill="1" applyBorder="1"/>
    <xf numFmtId="43" fontId="81" fillId="0" borderId="1" xfId="0" applyNumberFormat="1" applyFont="1" applyBorder="1"/>
    <xf numFmtId="43" fontId="81" fillId="0" borderId="1" xfId="1" applyFont="1" applyFill="1" applyBorder="1" applyAlignment="1">
      <alignment horizontal="left" indent="1"/>
    </xf>
    <xf numFmtId="167" fontId="81" fillId="0" borderId="1" xfId="0" applyNumberFormat="1" applyFont="1" applyBorder="1"/>
    <xf numFmtId="167" fontId="78" fillId="0" borderId="1" xfId="1" applyNumberFormat="1" applyFont="1" applyFill="1" applyBorder="1" applyAlignment="1">
      <alignment horizontal="left" indent="1"/>
    </xf>
    <xf numFmtId="0" fontId="78" fillId="0" borderId="32" xfId="0" applyFont="1" applyBorder="1"/>
    <xf numFmtId="0" fontId="81" fillId="0" borderId="12" xfId="0" applyFont="1" applyBorder="1"/>
    <xf numFmtId="43" fontId="81" fillId="0" borderId="32" xfId="0" applyNumberFormat="1" applyFont="1" applyBorder="1"/>
    <xf numFmtId="0" fontId="78" fillId="0" borderId="17" xfId="0" applyFont="1" applyBorder="1" applyAlignment="1">
      <alignment horizontal="left" indent="1"/>
    </xf>
    <xf numFmtId="43" fontId="78" fillId="0" borderId="13" xfId="1" applyFont="1" applyFill="1" applyBorder="1" applyAlignment="1">
      <alignment horizontal="center"/>
    </xf>
    <xf numFmtId="0" fontId="78" fillId="0" borderId="13" xfId="0" applyFont="1" applyBorder="1" applyAlignment="1">
      <alignment horizontal="left" indent="2"/>
    </xf>
    <xf numFmtId="0" fontId="78" fillId="0" borderId="17" xfId="0" applyFont="1" applyBorder="1" applyAlignment="1">
      <alignment horizontal="left" indent="2"/>
    </xf>
    <xf numFmtId="43" fontId="78" fillId="0" borderId="13" xfId="1" applyFont="1" applyFill="1" applyBorder="1" applyAlignment="1">
      <alignment horizontal="right" indent="2"/>
    </xf>
    <xf numFmtId="49" fontId="78" fillId="0" borderId="13" xfId="0" applyNumberFormat="1" applyFont="1" applyBorder="1" applyAlignment="1">
      <alignment horizontal="left" indent="3"/>
    </xf>
    <xf numFmtId="49" fontId="78" fillId="0" borderId="17" xfId="0" applyNumberFormat="1" applyFont="1" applyBorder="1" applyAlignment="1">
      <alignment horizontal="left" indent="3"/>
    </xf>
    <xf numFmtId="43" fontId="78" fillId="0" borderId="13" xfId="1" applyFont="1" applyFill="1" applyBorder="1" applyAlignment="1">
      <alignment horizontal="left" indent="3"/>
    </xf>
    <xf numFmtId="49" fontId="78" fillId="0" borderId="13" xfId="0" applyNumberFormat="1" applyFont="1" applyBorder="1" applyAlignment="1">
      <alignment horizontal="left" indent="1"/>
    </xf>
    <xf numFmtId="43" fontId="78" fillId="0" borderId="13" xfId="1" applyFont="1" applyFill="1" applyBorder="1" applyAlignment="1">
      <alignment horizontal="left" indent="1"/>
    </xf>
    <xf numFmtId="43" fontId="78" fillId="0" borderId="1" xfId="1" applyFont="1" applyFill="1" applyBorder="1" applyAlignment="1">
      <alignment horizontal="left" vertical="center" wrapText="1"/>
    </xf>
    <xf numFmtId="0" fontId="8" fillId="0" borderId="1" xfId="11" applyFont="1" applyBorder="1" applyAlignment="1" applyProtection="1">
      <alignment vertical="center" wrapText="1"/>
      <protection locked="0"/>
    </xf>
    <xf numFmtId="43" fontId="65" fillId="2" borderId="1" xfId="1" applyFont="1" applyFill="1" applyBorder="1" applyProtection="1">
      <protection locked="0"/>
    </xf>
    <xf numFmtId="0" fontId="16" fillId="0" borderId="5" xfId="0" applyFont="1" applyBorder="1" applyAlignment="1">
      <alignment horizontal="center" vertical="center"/>
    </xf>
    <xf numFmtId="0" fontId="5" fillId="0" borderId="10" xfId="0" applyFont="1" applyBorder="1" applyAlignment="1">
      <alignment horizontal="left" vertical="center" wrapText="1" indent="1"/>
    </xf>
    <xf numFmtId="0" fontId="5" fillId="0" borderId="24" xfId="0" applyFont="1" applyBorder="1" applyAlignment="1">
      <alignment horizontal="left" vertical="center" wrapText="1" indent="1"/>
    </xf>
    <xf numFmtId="164" fontId="17" fillId="3" borderId="77" xfId="6" applyBorder="1"/>
    <xf numFmtId="10" fontId="4" fillId="0" borderId="17" xfId="2" applyNumberFormat="1" applyFont="1" applyBorder="1" applyAlignment="1" applyProtection="1">
      <alignment vertical="center" wrapText="1"/>
      <protection locked="0"/>
    </xf>
    <xf numFmtId="10" fontId="4" fillId="0" borderId="1" xfId="2" quotePrefix="1" applyNumberFormat="1" applyFont="1" applyFill="1" applyBorder="1" applyAlignment="1" applyProtection="1">
      <alignment horizontal="right" vertical="center" wrapText="1"/>
      <protection locked="0"/>
    </xf>
    <xf numFmtId="9" fontId="17" fillId="3" borderId="0" xfId="2" applyFont="1" applyFill="1"/>
    <xf numFmtId="9" fontId="17" fillId="3" borderId="77" xfId="2" applyFont="1" applyFill="1" applyBorder="1"/>
    <xf numFmtId="165" fontId="9" fillId="4" borderId="17" xfId="0" applyNumberFormat="1" applyFont="1" applyFill="1" applyBorder="1" applyAlignment="1" applyProtection="1">
      <alignment vertical="center"/>
      <protection locked="0"/>
    </xf>
    <xf numFmtId="165" fontId="19" fillId="4" borderId="1" xfId="0" applyNumberFormat="1" applyFont="1" applyFill="1" applyBorder="1" applyAlignment="1" applyProtection="1">
      <alignment vertical="center"/>
      <protection locked="0"/>
    </xf>
    <xf numFmtId="165" fontId="19" fillId="4" borderId="17" xfId="0" applyNumberFormat="1" applyFont="1" applyFill="1" applyBorder="1" applyAlignment="1" applyProtection="1">
      <alignment vertical="center"/>
      <protection locked="0"/>
    </xf>
    <xf numFmtId="165" fontId="9" fillId="4" borderId="2" xfId="0" applyNumberFormat="1" applyFont="1" applyFill="1" applyBorder="1" applyAlignment="1" applyProtection="1">
      <alignment vertical="center"/>
      <protection locked="0"/>
    </xf>
    <xf numFmtId="165" fontId="19" fillId="4" borderId="2" xfId="0" applyNumberFormat="1" applyFont="1" applyFill="1" applyBorder="1" applyAlignment="1" applyProtection="1">
      <alignment vertical="center"/>
      <protection locked="0"/>
    </xf>
    <xf numFmtId="165" fontId="19" fillId="4" borderId="20" xfId="0" applyNumberFormat="1" applyFont="1" applyFill="1" applyBorder="1" applyAlignment="1" applyProtection="1">
      <alignment vertical="center"/>
      <protection locked="0"/>
    </xf>
    <xf numFmtId="0" fontId="8" fillId="0" borderId="0" xfId="0" applyFont="1" applyAlignment="1">
      <alignment vertical="top" wrapText="1"/>
    </xf>
    <xf numFmtId="166" fontId="9" fillId="4" borderId="1" xfId="2" applyNumberFormat="1" applyFont="1" applyFill="1" applyBorder="1" applyAlignment="1" applyProtection="1">
      <alignment vertical="center"/>
      <protection locked="0"/>
    </xf>
    <xf numFmtId="166" fontId="19" fillId="4" borderId="1" xfId="2" applyNumberFormat="1" applyFont="1" applyFill="1" applyBorder="1" applyAlignment="1" applyProtection="1">
      <alignment vertical="center"/>
      <protection locked="0"/>
    </xf>
    <xf numFmtId="166" fontId="19" fillId="4" borderId="17" xfId="2" applyNumberFormat="1" applyFont="1" applyFill="1" applyBorder="1" applyAlignment="1" applyProtection="1">
      <alignment vertical="center"/>
      <protection locked="0"/>
    </xf>
    <xf numFmtId="166" fontId="9" fillId="4" borderId="17" xfId="2" applyNumberFormat="1" applyFont="1" applyFill="1" applyBorder="1" applyAlignment="1" applyProtection="1">
      <alignment vertical="center"/>
      <protection locked="0"/>
    </xf>
    <xf numFmtId="166" fontId="9" fillId="4" borderId="22" xfId="2" applyNumberFormat="1" applyFont="1" applyFill="1" applyBorder="1" applyAlignment="1" applyProtection="1">
      <alignment vertical="center"/>
      <protection locked="0"/>
    </xf>
    <xf numFmtId="166" fontId="19" fillId="4" borderId="22" xfId="2" applyNumberFormat="1" applyFont="1" applyFill="1" applyBorder="1" applyAlignment="1" applyProtection="1">
      <alignment vertical="center"/>
      <protection locked="0"/>
    </xf>
    <xf numFmtId="166" fontId="19" fillId="4" borderId="23" xfId="2" applyNumberFormat="1" applyFont="1" applyFill="1" applyBorder="1" applyAlignment="1" applyProtection="1">
      <alignment vertical="center"/>
      <protection locked="0"/>
    </xf>
    <xf numFmtId="169" fontId="33" fillId="5" borderId="22" xfId="0" applyNumberFormat="1" applyFont="1" applyFill="1" applyBorder="1" applyAlignment="1">
      <alignment horizontal="right" vertical="center"/>
    </xf>
    <xf numFmtId="167" fontId="4" fillId="5" borderId="1" xfId="1" applyNumberFormat="1" applyFont="1" applyFill="1" applyBorder="1" applyAlignment="1">
      <alignment horizontal="left" vertical="center" wrapText="1"/>
    </xf>
    <xf numFmtId="167" fontId="33" fillId="5" borderId="17" xfId="1" applyNumberFormat="1" applyFont="1" applyFill="1" applyBorder="1" applyAlignment="1">
      <alignment horizontal="center" vertical="center" wrapText="1"/>
    </xf>
    <xf numFmtId="43" fontId="7" fillId="0" borderId="0" xfId="1" applyFont="1"/>
    <xf numFmtId="43" fontId="9" fillId="0" borderId="0" xfId="1" applyFont="1"/>
    <xf numFmtId="43" fontId="4" fillId="0" borderId="46" xfId="1" applyFont="1" applyBorder="1" applyAlignment="1">
      <alignment horizontal="center" vertical="center" wrapText="1"/>
    </xf>
    <xf numFmtId="43" fontId="7" fillId="0" borderId="1" xfId="1" applyFont="1" applyBorder="1"/>
    <xf numFmtId="43" fontId="60" fillId="0" borderId="0" xfId="1" applyFont="1"/>
    <xf numFmtId="43" fontId="4" fillId="0" borderId="1" xfId="1" applyFont="1" applyBorder="1"/>
    <xf numFmtId="43" fontId="4" fillId="0" borderId="6" xfId="1" applyFont="1" applyBorder="1"/>
    <xf numFmtId="43" fontId="4" fillId="0" borderId="17" xfId="1" applyFont="1" applyBorder="1"/>
    <xf numFmtId="43" fontId="4" fillId="5" borderId="22" xfId="1" applyFont="1" applyFill="1" applyBorder="1"/>
    <xf numFmtId="43" fontId="4" fillId="5" borderId="23" xfId="1" applyFont="1" applyFill="1" applyBorder="1"/>
    <xf numFmtId="43" fontId="17" fillId="3" borderId="0" xfId="1" applyFont="1" applyFill="1"/>
    <xf numFmtId="43" fontId="4" fillId="0" borderId="14" xfId="1" applyFont="1" applyBorder="1" applyAlignment="1">
      <alignment vertical="center"/>
    </xf>
    <xf numFmtId="43" fontId="4" fillId="0" borderId="12" xfId="1" applyFont="1" applyBorder="1" applyAlignment="1">
      <alignment vertical="center"/>
    </xf>
    <xf numFmtId="43" fontId="4" fillId="2" borderId="7" xfId="1" applyFont="1" applyFill="1" applyBorder="1" applyAlignment="1">
      <alignment vertical="center"/>
    </xf>
    <xf numFmtId="43" fontId="4" fillId="2" borderId="18" xfId="1" applyFont="1" applyFill="1" applyBorder="1" applyAlignment="1">
      <alignment vertical="center"/>
    </xf>
    <xf numFmtId="43" fontId="4" fillId="0" borderId="6" xfId="1" applyFont="1" applyBorder="1" applyAlignment="1">
      <alignment vertical="center"/>
    </xf>
    <xf numFmtId="43" fontId="4" fillId="0" borderId="17" xfId="1" applyFont="1" applyBorder="1" applyAlignment="1">
      <alignment vertical="center"/>
    </xf>
    <xf numFmtId="43" fontId="4" fillId="0" borderId="22" xfId="1" applyFont="1" applyBorder="1" applyAlignment="1">
      <alignment vertical="center"/>
    </xf>
    <xf numFmtId="43" fontId="4" fillId="0" borderId="35" xfId="1" applyFont="1" applyBorder="1" applyAlignment="1">
      <alignment vertical="center"/>
    </xf>
    <xf numFmtId="43" fontId="4" fillId="0" borderId="23" xfId="1" applyFont="1" applyBorder="1" applyAlignment="1">
      <alignment vertical="center"/>
    </xf>
    <xf numFmtId="43" fontId="78" fillId="5" borderId="1" xfId="1" applyFont="1" applyFill="1" applyBorder="1"/>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111" xfId="0" applyFont="1" applyBorder="1" applyAlignment="1">
      <alignment horizontal="center" vertical="center"/>
    </xf>
    <xf numFmtId="0" fontId="0" fillId="0" borderId="1" xfId="0"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167" fontId="14" fillId="0" borderId="10" xfId="1" applyNumberFormat="1" applyFont="1" applyBorder="1" applyAlignment="1">
      <alignment horizontal="center" vertical="center"/>
    </xf>
    <xf numFmtId="167" fontId="14" fillId="0" borderId="24" xfId="1"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4" fillId="0" borderId="10" xfId="0" applyFont="1" applyBorder="1" applyAlignment="1">
      <alignment horizontal="center" vertical="center"/>
    </xf>
    <xf numFmtId="0" fontId="14" fillId="0" borderId="24" xfId="0" applyFont="1" applyBorder="1" applyAlignment="1">
      <alignment horizontal="center" vertical="center"/>
    </xf>
    <xf numFmtId="0" fontId="0" fillId="0" borderId="1" xfId="0" applyBorder="1" applyAlignment="1">
      <alignment horizontal="center" vertical="center" wrapText="1"/>
    </xf>
    <xf numFmtId="0" fontId="14" fillId="0" borderId="10" xfId="0" applyFont="1" applyBorder="1" applyAlignment="1">
      <alignment horizontal="center"/>
    </xf>
    <xf numFmtId="0" fontId="14" fillId="0" borderId="24" xfId="0" applyFont="1" applyBorder="1" applyAlignment="1">
      <alignment horizontal="center"/>
    </xf>
    <xf numFmtId="0" fontId="14" fillId="0" borderId="5" xfId="0" applyFont="1" applyBorder="1" applyAlignment="1">
      <alignment horizontal="left" wrapText="1"/>
    </xf>
    <xf numFmtId="0" fontId="38" fillId="0" borderId="1" xfId="0" applyFont="1" applyBorder="1" applyAlignment="1">
      <alignment wrapText="1"/>
    </xf>
    <xf numFmtId="0" fontId="4" fillId="0" borderId="17" xfId="0" applyFont="1" applyBorder="1"/>
    <xf numFmtId="0" fontId="14" fillId="0" borderId="6" xfId="0" applyFont="1" applyBorder="1" applyAlignment="1">
      <alignment horizontal="center" vertical="center" wrapText="1"/>
    </xf>
    <xf numFmtId="0" fontId="1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xf>
    <xf numFmtId="0" fontId="4" fillId="0" borderId="18" xfId="0" applyFont="1" applyBorder="1" applyAlignment="1">
      <alignment horizontal="center"/>
    </xf>
    <xf numFmtId="0" fontId="33" fillId="5" borderId="42" xfId="0" applyFont="1" applyFill="1" applyBorder="1" applyAlignment="1">
      <alignment horizontal="center" vertical="center" wrapText="1"/>
    </xf>
    <xf numFmtId="0" fontId="33" fillId="5" borderId="43" xfId="0" applyFont="1" applyFill="1" applyBorder="1" applyAlignment="1">
      <alignment horizontal="center" vertical="center" wrapText="1"/>
    </xf>
    <xf numFmtId="0" fontId="33" fillId="5" borderId="44"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1" xfId="5" applyFont="1" applyFill="1" applyBorder="1" applyAlignment="1">
      <alignment horizontal="center" vertical="top"/>
    </xf>
    <xf numFmtId="0" fontId="33" fillId="10" borderId="12" xfId="0" applyFont="1" applyFill="1" applyBorder="1" applyAlignment="1">
      <alignment horizontal="center" vertical="center" wrapText="1"/>
    </xf>
    <xf numFmtId="0" fontId="33" fillId="10" borderId="17" xfId="0" applyFont="1" applyFill="1" applyBorder="1" applyAlignment="1">
      <alignment horizontal="center" vertical="center" wrapText="1"/>
    </xf>
    <xf numFmtId="9" fontId="4" fillId="0" borderId="6" xfId="0" applyNumberFormat="1" applyFont="1" applyBorder="1" applyAlignment="1">
      <alignment horizontal="center" vertical="center"/>
    </xf>
    <xf numFmtId="9" fontId="4" fillId="0" borderId="8" xfId="0" applyNumberFormat="1" applyFont="1" applyBorder="1" applyAlignment="1">
      <alignment horizontal="center" vertical="center"/>
    </xf>
    <xf numFmtId="0" fontId="61" fillId="2" borderId="20" xfId="11" applyFont="1" applyFill="1" applyBorder="1" applyAlignment="1" applyProtection="1">
      <alignment horizontal="center" vertical="center" wrapText="1"/>
      <protection locked="0"/>
    </xf>
    <xf numFmtId="0" fontId="61" fillId="2" borderId="12"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167" fontId="16" fillId="2" borderId="9" xfId="15" applyNumberFormat="1" applyFont="1" applyFill="1" applyBorder="1" applyAlignment="1" applyProtection="1">
      <alignment horizontal="center"/>
      <protection locked="0"/>
    </xf>
    <xf numFmtId="167" fontId="16" fillId="2" borderId="10" xfId="15" applyNumberFormat="1" applyFont="1" applyFill="1" applyBorder="1" applyAlignment="1" applyProtection="1">
      <alignment horizontal="center"/>
      <protection locked="0"/>
    </xf>
    <xf numFmtId="167" fontId="16" fillId="2" borderId="24" xfId="15" applyNumberFormat="1" applyFont="1" applyFill="1" applyBorder="1" applyAlignment="1" applyProtection="1">
      <alignment horizontal="center"/>
      <protection locked="0"/>
    </xf>
    <xf numFmtId="167" fontId="16" fillId="0" borderId="62" xfId="15" applyNumberFormat="1" applyFont="1" applyFill="1" applyBorder="1" applyAlignment="1" applyProtection="1">
      <alignment horizontal="center" vertical="center" wrapText="1"/>
      <protection locked="0"/>
    </xf>
    <xf numFmtId="167" fontId="16" fillId="0" borderId="64" xfId="15" applyNumberFormat="1" applyFont="1" applyFill="1" applyBorder="1" applyAlignment="1" applyProtection="1">
      <alignment horizontal="center" vertical="center" wrapText="1"/>
      <protection locked="0"/>
    </xf>
    <xf numFmtId="0" fontId="33" fillId="0" borderId="63" xfId="0" applyFont="1" applyBorder="1" applyAlignment="1">
      <alignment horizontal="center" vertical="center" wrapText="1"/>
    </xf>
    <xf numFmtId="0" fontId="33" fillId="0" borderId="65" xfId="0" applyFont="1" applyBorder="1" applyAlignment="1">
      <alignment horizontal="center" vertical="center"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63" fillId="0" borderId="59" xfId="0" applyFont="1" applyBorder="1" applyAlignment="1">
      <alignment horizontal="left" vertical="center"/>
    </xf>
    <xf numFmtId="0" fontId="63" fillId="0" borderId="60" xfId="0" applyFont="1" applyBorder="1" applyAlignment="1">
      <alignment horizontal="left" vertical="center"/>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0" xfId="0" applyFont="1" applyBorder="1" applyAlignment="1">
      <alignment horizontal="center"/>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81" fillId="0" borderId="78" xfId="0" applyFont="1" applyBorder="1" applyAlignment="1">
      <alignment horizontal="left" vertical="center" wrapText="1"/>
    </xf>
    <xf numFmtId="0" fontId="81" fillId="0" borderId="79" xfId="0" applyFont="1" applyBorder="1" applyAlignment="1">
      <alignment horizontal="left" vertical="center" wrapText="1"/>
    </xf>
    <xf numFmtId="0" fontId="81" fillId="0" borderId="81" xfId="0" applyFont="1" applyBorder="1" applyAlignment="1">
      <alignment horizontal="left" vertical="center" wrapText="1"/>
    </xf>
    <xf numFmtId="0" fontId="81" fillId="0" borderId="82" xfId="0" applyFont="1" applyBorder="1" applyAlignment="1">
      <alignment horizontal="left" vertical="center" wrapText="1"/>
    </xf>
    <xf numFmtId="0" fontId="81" fillId="0" borderId="83" xfId="0" applyFont="1" applyBorder="1" applyAlignment="1">
      <alignment horizontal="left" vertical="center" wrapText="1"/>
    </xf>
    <xf numFmtId="0" fontId="81" fillId="0" borderId="84" xfId="0" applyFont="1" applyBorder="1" applyAlignment="1">
      <alignment horizontal="left" vertical="center" wrapText="1"/>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80" xfId="0" applyFont="1" applyBorder="1" applyAlignment="1">
      <alignment horizontal="center" vertical="center" wrapText="1"/>
    </xf>
    <xf numFmtId="0" fontId="82" fillId="0" borderId="14" xfId="0" applyFont="1" applyBorder="1" applyAlignment="1">
      <alignment horizontal="center" vertical="center" wrapText="1"/>
    </xf>
    <xf numFmtId="0" fontId="82" fillId="0" borderId="15" xfId="0" applyFont="1" applyBorder="1" applyAlignment="1">
      <alignment horizontal="center" vertical="center" wrapText="1"/>
    </xf>
    <xf numFmtId="0" fontId="82" fillId="0" borderId="29"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6" xfId="0" applyFont="1" applyBorder="1" applyAlignment="1">
      <alignment horizontal="center" vertical="center" wrapText="1"/>
    </xf>
    <xf numFmtId="0" fontId="78" fillId="0" borderId="8" xfId="0" applyFont="1" applyBorder="1" applyAlignment="1">
      <alignment horizontal="center" vertical="center" wrapText="1"/>
    </xf>
    <xf numFmtId="0" fontId="89" fillId="0" borderId="1" xfId="0" applyFont="1" applyBorder="1" applyAlignment="1">
      <alignment horizontal="center" vertical="center"/>
    </xf>
    <xf numFmtId="0" fontId="80" fillId="0" borderId="3" xfId="0" applyFont="1" applyBorder="1" applyAlignment="1">
      <alignment horizontal="center" vertical="center"/>
    </xf>
    <xf numFmtId="0" fontId="80" fillId="0" borderId="80" xfId="0" applyFont="1" applyBorder="1" applyAlignment="1">
      <alignment horizontal="center" vertical="center"/>
    </xf>
    <xf numFmtId="0" fontId="80" fillId="0" borderId="14" xfId="0" applyFont="1" applyBorder="1" applyAlignment="1">
      <alignment horizontal="center" vertical="center"/>
    </xf>
    <xf numFmtId="0" fontId="80" fillId="0" borderId="29" xfId="0" applyFont="1" applyBorder="1" applyAlignment="1">
      <alignment horizontal="center" vertical="center"/>
    </xf>
    <xf numFmtId="0" fontId="81" fillId="0" borderId="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80" xfId="0" applyFont="1" applyBorder="1" applyAlignment="1">
      <alignment horizontal="center" vertical="center" wrapText="1"/>
    </xf>
    <xf numFmtId="0" fontId="81" fillId="0" borderId="86" xfId="0" applyFont="1" applyBorder="1" applyAlignment="1">
      <alignment horizontal="center" vertical="center" wrapText="1"/>
    </xf>
    <xf numFmtId="0" fontId="81" fillId="0" borderId="28"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29" xfId="0" applyFont="1" applyBorder="1" applyAlignment="1">
      <alignment horizontal="center" vertical="center" wrapText="1"/>
    </xf>
    <xf numFmtId="0" fontId="78" fillId="0" borderId="7" xfId="0" applyFont="1" applyBorder="1" applyAlignment="1">
      <alignment horizontal="center" vertical="center" wrapText="1"/>
    </xf>
    <xf numFmtId="0" fontId="81" fillId="0" borderId="31" xfId="0" applyFont="1" applyBorder="1" applyAlignment="1">
      <alignment horizontal="center" vertical="center" wrapText="1"/>
    </xf>
    <xf numFmtId="0" fontId="81" fillId="0" borderId="11" xfId="0" applyFont="1" applyBorder="1" applyAlignment="1">
      <alignment horizontal="center" vertical="center" wrapText="1"/>
    </xf>
    <xf numFmtId="0" fontId="78" fillId="0" borderId="31"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80" xfId="0" applyFont="1" applyBorder="1" applyAlignment="1">
      <alignment horizontal="center" vertical="center" wrapText="1"/>
    </xf>
    <xf numFmtId="0" fontId="78" fillId="0" borderId="29" xfId="0" applyFont="1" applyBorder="1" applyAlignment="1">
      <alignment horizontal="center" vertical="center" wrapText="1"/>
    </xf>
    <xf numFmtId="0" fontId="81" fillId="0" borderId="59" xfId="0" applyFont="1" applyBorder="1" applyAlignment="1">
      <alignment horizontal="left" vertical="top" wrapText="1"/>
    </xf>
    <xf numFmtId="0" fontId="81" fillId="0" borderId="67" xfId="0" applyFont="1" applyBorder="1" applyAlignment="1">
      <alignment horizontal="left" vertical="top" wrapText="1"/>
    </xf>
    <xf numFmtId="0" fontId="81" fillId="0" borderId="61" xfId="0" applyFont="1" applyBorder="1" applyAlignment="1">
      <alignment horizontal="left" vertical="top" wrapText="1"/>
    </xf>
    <xf numFmtId="0" fontId="81" fillId="0" borderId="77" xfId="0" applyFont="1" applyBorder="1" applyAlignment="1">
      <alignment horizontal="left" vertical="top" wrapText="1"/>
    </xf>
    <xf numFmtId="0" fontId="81" fillId="0" borderId="76" xfId="0" applyFont="1" applyBorder="1" applyAlignment="1">
      <alignment horizontal="left" vertical="top" wrapText="1"/>
    </xf>
    <xf numFmtId="0" fontId="81" fillId="0" borderId="16" xfId="0" applyFont="1" applyBorder="1" applyAlignment="1">
      <alignment horizontal="left" vertical="top" wrapText="1"/>
    </xf>
    <xf numFmtId="0" fontId="78" fillId="0" borderId="59" xfId="0" applyFont="1" applyBorder="1" applyAlignment="1">
      <alignment horizontal="center" vertical="center" wrapText="1"/>
    </xf>
    <xf numFmtId="0" fontId="78" fillId="0" borderId="60" xfId="0" applyFont="1" applyBorder="1" applyAlignment="1">
      <alignment horizontal="center" vertical="center" wrapText="1"/>
    </xf>
    <xf numFmtId="0" fontId="78" fillId="0" borderId="67" xfId="0" applyFont="1" applyBorder="1" applyAlignment="1">
      <alignment horizontal="center" vertical="center" wrapText="1"/>
    </xf>
    <xf numFmtId="0" fontId="81" fillId="0" borderId="87" xfId="0" applyFont="1" applyBorder="1" applyAlignment="1">
      <alignment horizontal="center" vertical="center" wrapText="1"/>
    </xf>
    <xf numFmtId="0" fontId="81" fillId="0" borderId="3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3" xfId="0" applyFont="1" applyBorder="1" applyAlignment="1">
      <alignment horizontal="center" vertical="top" wrapText="1"/>
    </xf>
    <xf numFmtId="0" fontId="78" fillId="0" borderId="4" xfId="0" applyFont="1" applyBorder="1" applyAlignment="1">
      <alignment horizontal="center" vertical="top" wrapText="1"/>
    </xf>
    <xf numFmtId="0" fontId="78" fillId="0" borderId="7" xfId="0" applyFont="1" applyBorder="1" applyAlignment="1">
      <alignment horizontal="center" vertical="top" wrapText="1"/>
    </xf>
    <xf numFmtId="0" fontId="78" fillId="0" borderId="8" xfId="0" applyFont="1" applyBorder="1" applyAlignment="1">
      <alignment horizontal="center" vertical="top" wrapText="1"/>
    </xf>
    <xf numFmtId="0" fontId="92" fillId="0" borderId="88" xfId="0" applyFont="1" applyBorder="1" applyAlignment="1">
      <alignment horizontal="left" vertical="top" wrapText="1"/>
    </xf>
    <xf numFmtId="0" fontId="92" fillId="0" borderId="89" xfId="0" applyFont="1" applyBorder="1" applyAlignment="1">
      <alignment horizontal="left" vertical="top" wrapText="1"/>
    </xf>
    <xf numFmtId="0" fontId="83" fillId="0" borderId="1" xfId="0" applyFont="1" applyBorder="1" applyAlignment="1">
      <alignment horizontal="center" vertical="center" wrapText="1"/>
    </xf>
    <xf numFmtId="0" fontId="86" fillId="0" borderId="1" xfId="0" applyFont="1" applyBorder="1" applyAlignment="1">
      <alignment horizontal="center" vertical="center"/>
    </xf>
    <xf numFmtId="0" fontId="83" fillId="0" borderId="2" xfId="0" applyFont="1" applyBorder="1" applyAlignment="1">
      <alignment horizontal="center" vertical="center" wrapText="1"/>
    </xf>
    <xf numFmtId="0" fontId="40" fillId="2" borderId="6" xfId="0" applyFont="1" applyFill="1" applyBorder="1" applyAlignment="1">
      <alignment vertical="center" wrapText="1"/>
    </xf>
    <xf numFmtId="0" fontId="40" fillId="2" borderId="8" xfId="0" applyFont="1" applyFill="1" applyBorder="1" applyAlignment="1">
      <alignment vertical="center" wrapText="1"/>
    </xf>
    <xf numFmtId="0" fontId="40" fillId="0" borderId="6" xfId="0" applyFont="1" applyBorder="1" applyAlignment="1">
      <alignment horizontal="left" vertical="center" wrapText="1"/>
    </xf>
    <xf numFmtId="0" fontId="40" fillId="0" borderId="8" xfId="0" applyFont="1" applyBorder="1" applyAlignment="1">
      <alignment horizontal="left" vertical="center" wrapText="1"/>
    </xf>
    <xf numFmtId="0" fontId="40" fillId="0" borderId="6" xfId="0" applyFont="1" applyBorder="1" applyAlignment="1">
      <alignment horizontal="left"/>
    </xf>
    <xf numFmtId="0" fontId="40" fillId="0" borderId="8" xfId="0" applyFont="1" applyBorder="1" applyAlignment="1">
      <alignment horizontal="left"/>
    </xf>
    <xf numFmtId="0" fontId="40" fillId="0" borderId="6" xfId="0" applyFont="1" applyBorder="1" applyAlignment="1">
      <alignment vertical="center" wrapText="1"/>
    </xf>
    <xf numFmtId="0" fontId="40" fillId="0" borderId="8" xfId="0" applyFont="1" applyBorder="1" applyAlignment="1">
      <alignment vertical="center" wrapText="1"/>
    </xf>
    <xf numFmtId="0" fontId="92" fillId="0" borderId="110" xfId="0" applyFont="1" applyBorder="1" applyAlignment="1">
      <alignment horizontal="center" vertical="center"/>
    </xf>
    <xf numFmtId="0" fontId="92" fillId="0" borderId="109" xfId="0" applyFont="1" applyBorder="1" applyAlignment="1">
      <alignment horizontal="center" vertical="center"/>
    </xf>
    <xf numFmtId="0" fontId="92" fillId="0" borderId="108" xfId="0" applyFont="1" applyBorder="1" applyAlignment="1">
      <alignment horizontal="center" vertical="center"/>
    </xf>
    <xf numFmtId="0" fontId="40" fillId="0" borderId="1" xfId="0" applyFont="1" applyBorder="1" applyAlignment="1">
      <alignment horizontal="left" vertical="center" wrapText="1"/>
    </xf>
    <xf numFmtId="0" fontId="92" fillId="18" borderId="104" xfId="0" applyFont="1" applyFill="1" applyBorder="1" applyAlignment="1">
      <alignment horizontal="center" vertical="center" wrapText="1"/>
    </xf>
    <xf numFmtId="0" fontId="92" fillId="18" borderId="103" xfId="0" applyFont="1" applyFill="1" applyBorder="1" applyAlignment="1">
      <alignment horizontal="center" vertical="center" wrapText="1"/>
    </xf>
    <xf numFmtId="0" fontId="92" fillId="18" borderId="102" xfId="0" applyFont="1" applyFill="1" applyBorder="1" applyAlignment="1">
      <alignment horizontal="center" vertical="center" wrapTex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94" fillId="2" borderId="6" xfId="0" applyFont="1" applyFill="1" applyBorder="1" applyAlignment="1">
      <alignment vertical="center" wrapText="1"/>
    </xf>
    <xf numFmtId="0" fontId="94" fillId="2" borderId="8" xfId="0" applyFont="1" applyFill="1" applyBorder="1" applyAlignment="1">
      <alignment vertical="center" wrapText="1"/>
    </xf>
    <xf numFmtId="0" fontId="40" fillId="2" borderId="39" xfId="0" applyFont="1" applyFill="1" applyBorder="1" applyAlignment="1">
      <alignment horizontal="left" vertical="center" wrapText="1"/>
    </xf>
    <xf numFmtId="0" fontId="40" fillId="2" borderId="40" xfId="0" applyFont="1" applyFill="1" applyBorder="1" applyAlignment="1">
      <alignment horizontal="left" vertical="center" wrapText="1"/>
    </xf>
    <xf numFmtId="0" fontId="40" fillId="0" borderId="106" xfId="0" applyFont="1" applyBorder="1" applyAlignment="1">
      <alignment horizontal="left" vertical="center" wrapText="1"/>
    </xf>
    <xf numFmtId="0" fontId="40" fillId="0" borderId="105" xfId="0" applyFont="1" applyBorder="1" applyAlignment="1">
      <alignment horizontal="left" vertical="center" wrapText="1"/>
    </xf>
    <xf numFmtId="0" fontId="40" fillId="0" borderId="14" xfId="0" applyFont="1" applyBorder="1" applyAlignment="1">
      <alignment vertical="center" wrapText="1"/>
    </xf>
    <xf numFmtId="0" fontId="40" fillId="0" borderId="29" xfId="0" applyFont="1" applyBorder="1" applyAlignment="1">
      <alignment vertical="center" wrapText="1"/>
    </xf>
    <xf numFmtId="0" fontId="40" fillId="0" borderId="7"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92" fillId="18" borderId="94" xfId="0" applyFont="1" applyFill="1" applyBorder="1" applyAlignment="1">
      <alignment horizontal="center" vertical="center" wrapText="1"/>
    </xf>
    <xf numFmtId="0" fontId="92" fillId="18" borderId="0" xfId="0" applyFont="1" applyFill="1" applyAlignment="1">
      <alignment horizontal="center" vertical="center" wrapText="1"/>
    </xf>
    <xf numFmtId="0" fontId="92" fillId="18" borderId="93" xfId="0" applyFont="1" applyFill="1" applyBorder="1" applyAlignment="1">
      <alignment horizontal="center" vertical="center" wrapText="1"/>
    </xf>
    <xf numFmtId="0" fontId="94" fillId="2" borderId="6" xfId="0" applyFont="1" applyFill="1" applyBorder="1" applyAlignment="1">
      <alignment horizontal="left" vertical="center" wrapText="1"/>
    </xf>
    <xf numFmtId="0" fontId="94" fillId="2" borderId="8"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92" fillId="18" borderId="100" xfId="0" applyFont="1" applyFill="1" applyBorder="1" applyAlignment="1">
      <alignment horizontal="center" vertical="center"/>
    </xf>
    <xf numFmtId="0" fontId="92" fillId="18" borderId="99" xfId="0" applyFont="1" applyFill="1" applyBorder="1" applyAlignment="1">
      <alignment horizontal="center" vertical="center"/>
    </xf>
    <xf numFmtId="0" fontId="92" fillId="18" borderId="98" xfId="0" applyFont="1" applyFill="1" applyBorder="1" applyAlignment="1">
      <alignment horizontal="center" vertical="center"/>
    </xf>
    <xf numFmtId="0" fontId="92" fillId="0" borderId="97" xfId="0" applyFont="1" applyBorder="1" applyAlignment="1">
      <alignment horizontal="center" vertical="center"/>
    </xf>
    <xf numFmtId="0" fontId="92" fillId="18" borderId="1" xfId="0" applyFont="1" applyFill="1" applyBorder="1" applyAlignment="1">
      <alignment horizontal="center" vertical="center" wrapText="1"/>
    </xf>
    <xf numFmtId="0" fontId="92" fillId="0" borderId="1" xfId="0" applyFont="1" applyBorder="1" applyAlignment="1">
      <alignment horizontal="center" vertical="center"/>
    </xf>
    <xf numFmtId="0" fontId="40" fillId="0" borderId="6" xfId="11" applyFont="1" applyBorder="1" applyAlignment="1" applyProtection="1">
      <alignment horizontal="left" vertical="top" wrapText="1"/>
      <protection locked="0"/>
    </xf>
    <xf numFmtId="0" fontId="40" fillId="0" borderId="8" xfId="11" applyFont="1" applyBorder="1" applyAlignment="1" applyProtection="1">
      <alignment horizontal="left" vertical="top" wrapText="1"/>
      <protection locked="0"/>
    </xf>
    <xf numFmtId="0" fontId="40" fillId="2" borderId="6" xfId="11" applyFont="1" applyFill="1" applyBorder="1" applyAlignment="1" applyProtection="1">
      <alignment horizontal="left" vertical="top" wrapText="1"/>
      <protection locked="0"/>
    </xf>
    <xf numFmtId="0" fontId="40" fillId="2" borderId="8" xfId="11" applyFont="1" applyFill="1" applyBorder="1" applyAlignment="1" applyProtection="1">
      <alignment horizontal="left" vertical="top" wrapText="1"/>
      <protection locked="0"/>
    </xf>
    <xf numFmtId="0" fontId="92" fillId="18" borderId="6" xfId="0" applyFont="1" applyFill="1" applyBorder="1" applyAlignment="1">
      <alignment horizontal="center" vertical="center" wrapText="1"/>
    </xf>
    <xf numFmtId="0" fontId="92" fillId="18" borderId="8" xfId="0" applyFont="1" applyFill="1" applyBorder="1" applyAlignment="1">
      <alignment horizontal="center" vertical="center" wrapText="1"/>
    </xf>
    <xf numFmtId="0" fontId="40" fillId="0" borderId="6" xfId="0" applyFont="1" applyBorder="1" applyAlignment="1">
      <alignment horizontal="left" vertical="top" wrapText="1"/>
    </xf>
    <xf numFmtId="0" fontId="40" fillId="0" borderId="8" xfId="0" applyFont="1" applyBorder="1" applyAlignment="1">
      <alignment horizontal="left" vertical="top" wrapText="1"/>
    </xf>
    <xf numFmtId="0" fontId="94" fillId="0" borderId="6" xfId="11" applyFont="1" applyBorder="1" applyAlignment="1" applyProtection="1">
      <alignment horizontal="left" vertical="top" wrapText="1"/>
      <protection locked="0"/>
    </xf>
    <xf numFmtId="0" fontId="94" fillId="0" borderId="8" xfId="11" applyFont="1" applyBorder="1" applyAlignment="1" applyProtection="1">
      <alignment horizontal="left" vertical="top" wrapText="1"/>
      <protection locked="0"/>
    </xf>
    <xf numFmtId="49" fontId="40" fillId="0" borderId="0" xfId="0" applyNumberFormat="1" applyFont="1" applyAlignment="1">
      <alignment horizontal="center" vertical="center"/>
    </xf>
    <xf numFmtId="0" fontId="40" fillId="0" borderId="1" xfId="0" applyFont="1" applyBorder="1" applyAlignment="1">
      <alignment horizontal="left" vertical="top" wrapText="1"/>
    </xf>
    <xf numFmtId="0" fontId="40" fillId="0" borderId="1" xfId="0" applyFont="1" applyBorder="1" applyAlignment="1">
      <alignment horizontal="center"/>
    </xf>
  </cellXfs>
  <cellStyles count="25">
    <cellStyle name="=C:\WINNT35\SYSTEM32\COMMAND.COM" xfId="19" xr:uid="{FCD09396-389F-4602-B9C3-BBA6F89A56AF}"/>
    <cellStyle name="1Normal 2" xfId="6" xr:uid="{73357807-11D5-405C-8BAB-17CEDB543D20}"/>
    <cellStyle name="Comma" xfId="1" builtinId="3"/>
    <cellStyle name="Comma 10" xfId="20" xr:uid="{E50C3137-BFAC-4980-A303-50C2830587D7}"/>
    <cellStyle name="Comma 10 12" xfId="21" xr:uid="{D47CACA7-64AB-46B2-A801-94B3D5661372}"/>
    <cellStyle name="Comma 111" xfId="23" xr:uid="{EDE01365-3D87-4689-823F-696EAB3AE629}"/>
    <cellStyle name="Comma 2" xfId="15" xr:uid="{AD015673-7A5A-424D-B100-BA9667CEC939}"/>
    <cellStyle name="Comma 3" xfId="10" xr:uid="{F3B97866-D1AE-4BD2-BA2D-C104F273025B}"/>
    <cellStyle name="Hyperlink" xfId="3" builtinId="8"/>
    <cellStyle name="Normal" xfId="0" builtinId="0"/>
    <cellStyle name="Normal 10 2" xfId="22" xr:uid="{7057D54B-F4FB-4B8B-97DB-F293F6C8CD67}"/>
    <cellStyle name="Normal 121 2" xfId="12" xr:uid="{F138D1AF-529C-480E-9B43-FF01B2E6E9AF}"/>
    <cellStyle name="Normal 122" xfId="4" xr:uid="{B83D8B27-D161-4999-8A31-55A24551232B}"/>
    <cellStyle name="Normal 123" xfId="7" xr:uid="{6F635C76-113F-46B1-9EDF-CEA8B069D1CE}"/>
    <cellStyle name="Normal 2" xfId="5" xr:uid="{7E9B7944-AD8C-4E96-8358-81208E40D26E}"/>
    <cellStyle name="Normal 2 2" xfId="13" xr:uid="{3BF3B97A-B239-4E9D-AA5F-B3A465FA8C3E}"/>
    <cellStyle name="Normal 3 10 2 2" xfId="24" xr:uid="{CC0CE6C7-0A77-494F-9BEB-C25633F43D0A}"/>
    <cellStyle name="Normal 4" xfId="11" xr:uid="{D1D36625-F36C-4172-AA1E-D2A85F4B8A7E}"/>
    <cellStyle name="Normal 4 15" xfId="16" xr:uid="{E65751D2-4D23-4F5D-AEF1-3CCEC32D3502}"/>
    <cellStyle name="Normal 4 16" xfId="17" xr:uid="{B8519D7F-9D64-4BB2-B5CB-4848F8938687}"/>
    <cellStyle name="Normal_Capital &amp; RWA N" xfId="8" xr:uid="{8876AA15-BB88-4940-942A-FEF18956B41E}"/>
    <cellStyle name="Normal_Capital &amp; RWA N 2" xfId="14" xr:uid="{90B6E4C2-6197-4BC1-A46E-3048BA3EB787}"/>
    <cellStyle name="Normal_Casestdy draft" xfId="18" xr:uid="{96CBFAE2-467D-49F3-AEE9-10421A507491}"/>
    <cellStyle name="Normal_Casestdy draft 2" xfId="9" xr:uid="{36D83119-826E-4725-BEBB-8D22AC1825A7}"/>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01FCA596-9DB3-499A-9BEB-FA480488D1D5}"/>
            </a:ext>
          </a:extLst>
        </xdr:cNvPr>
        <xdr:cNvCxnSpPr/>
      </xdr:nvCxnSpPr>
      <xdr:spPr>
        <a:xfrm>
          <a:off x="723900" y="1211580"/>
          <a:ext cx="6324600" cy="760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E4-FFCE-46FB-96E9-8B43C9F090D8}">
  <dimension ref="A1:C35"/>
  <sheetViews>
    <sheetView zoomScaleNormal="85" workbookViewId="0">
      <pane xSplit="1" ySplit="7" topLeftCell="B26" activePane="bottomRight" state="frozen"/>
      <selection activeCell="B2" sqref="B2:C6"/>
      <selection pane="topRight" activeCell="B2" sqref="B2:C6"/>
      <selection pane="bottomLeft" activeCell="B2" sqref="B2:C6"/>
      <selection pane="bottomRight" activeCell="B42" sqref="B42"/>
    </sheetView>
  </sheetViews>
  <sheetFormatPr defaultRowHeight="14.4" x14ac:dyDescent="0.3"/>
  <cols>
    <col min="1" max="1" width="10.33203125" style="20" customWidth="1"/>
    <col min="2" max="2" width="153" bestFit="1" customWidth="1"/>
    <col min="3" max="3" width="39.44140625" customWidth="1"/>
    <col min="7" max="7" width="62.109375" customWidth="1"/>
  </cols>
  <sheetData>
    <row r="1" spans="1:3" x14ac:dyDescent="0.3">
      <c r="A1" s="1"/>
      <c r="B1" s="2" t="s">
        <v>0</v>
      </c>
      <c r="C1" s="3"/>
    </row>
    <row r="2" spans="1:3" s="7" customFormat="1" x14ac:dyDescent="0.3">
      <c r="A2" s="4">
        <v>1</v>
      </c>
      <c r="B2" s="5" t="s">
        <v>1</v>
      </c>
      <c r="C2" s="6" t="s">
        <v>2</v>
      </c>
    </row>
    <row r="3" spans="1:3" s="7" customFormat="1" x14ac:dyDescent="0.3">
      <c r="A3" s="4">
        <v>2</v>
      </c>
      <c r="B3" s="8" t="s">
        <v>3</v>
      </c>
      <c r="C3" s="6" t="s">
        <v>4</v>
      </c>
    </row>
    <row r="4" spans="1:3" s="7" customFormat="1" ht="40.5" customHeight="1" x14ac:dyDescent="0.3">
      <c r="A4" s="4">
        <v>3</v>
      </c>
      <c r="B4" s="8" t="s">
        <v>5</v>
      </c>
      <c r="C4" s="6" t="s">
        <v>6</v>
      </c>
    </row>
    <row r="5" spans="1:3" s="7" customFormat="1" x14ac:dyDescent="0.3">
      <c r="A5" s="9">
        <v>4</v>
      </c>
      <c r="B5" s="10" t="s">
        <v>7</v>
      </c>
      <c r="C5" s="11" t="s">
        <v>8</v>
      </c>
    </row>
    <row r="6" spans="1:3" s="12" customFormat="1" ht="65.25" customHeight="1" x14ac:dyDescent="0.3">
      <c r="A6" s="820" t="s">
        <v>9</v>
      </c>
      <c r="B6" s="821"/>
      <c r="C6" s="821"/>
    </row>
    <row r="7" spans="1:3" x14ac:dyDescent="0.3">
      <c r="A7" s="13" t="s">
        <v>10</v>
      </c>
      <c r="B7" s="2" t="s">
        <v>11</v>
      </c>
    </row>
    <row r="8" spans="1:3" x14ac:dyDescent="0.3">
      <c r="A8" s="1">
        <v>1</v>
      </c>
      <c r="B8" s="14" t="s">
        <v>12</v>
      </c>
    </row>
    <row r="9" spans="1:3" x14ac:dyDescent="0.3">
      <c r="A9" s="1">
        <v>2</v>
      </c>
      <c r="B9" s="14" t="s">
        <v>13</v>
      </c>
    </row>
    <row r="10" spans="1:3" x14ac:dyDescent="0.3">
      <c r="A10" s="1">
        <v>3</v>
      </c>
      <c r="B10" s="14" t="s">
        <v>14</v>
      </c>
    </row>
    <row r="11" spans="1:3" x14ac:dyDescent="0.3">
      <c r="A11" s="1">
        <v>4</v>
      </c>
      <c r="B11" s="14" t="s">
        <v>15</v>
      </c>
    </row>
    <row r="12" spans="1:3" x14ac:dyDescent="0.3">
      <c r="A12" s="1">
        <v>5</v>
      </c>
      <c r="B12" s="14" t="s">
        <v>16</v>
      </c>
    </row>
    <row r="13" spans="1:3" x14ac:dyDescent="0.3">
      <c r="A13" s="1">
        <v>6</v>
      </c>
      <c r="B13" s="15" t="s">
        <v>17</v>
      </c>
    </row>
    <row r="14" spans="1:3" x14ac:dyDescent="0.3">
      <c r="A14" s="1">
        <v>7</v>
      </c>
      <c r="B14" s="14" t="s">
        <v>18</v>
      </c>
    </row>
    <row r="15" spans="1:3" x14ac:dyDescent="0.3">
      <c r="A15" s="1">
        <v>8</v>
      </c>
      <c r="B15" s="14" t="s">
        <v>19</v>
      </c>
    </row>
    <row r="16" spans="1:3" x14ac:dyDescent="0.3">
      <c r="A16" s="1">
        <v>9</v>
      </c>
      <c r="B16" s="14" t="s">
        <v>20</v>
      </c>
    </row>
    <row r="17" spans="1:2" x14ac:dyDescent="0.3">
      <c r="A17" s="16" t="s">
        <v>21</v>
      </c>
      <c r="B17" s="14" t="s">
        <v>22</v>
      </c>
    </row>
    <row r="18" spans="1:2" x14ac:dyDescent="0.3">
      <c r="A18" s="1">
        <v>10</v>
      </c>
      <c r="B18" s="14" t="s">
        <v>23</v>
      </c>
    </row>
    <row r="19" spans="1:2" x14ac:dyDescent="0.3">
      <c r="A19" s="1">
        <v>11</v>
      </c>
      <c r="B19" s="15" t="s">
        <v>24</v>
      </c>
    </row>
    <row r="20" spans="1:2" x14ac:dyDescent="0.3">
      <c r="A20" s="1">
        <v>12</v>
      </c>
      <c r="B20" s="15" t="s">
        <v>25</v>
      </c>
    </row>
    <row r="21" spans="1:2" x14ac:dyDescent="0.3">
      <c r="A21" s="1">
        <v>13</v>
      </c>
      <c r="B21" s="17" t="s">
        <v>26</v>
      </c>
    </row>
    <row r="22" spans="1:2" x14ac:dyDescent="0.3">
      <c r="A22" s="1">
        <v>14</v>
      </c>
      <c r="B22" s="18" t="s">
        <v>27</v>
      </c>
    </row>
    <row r="23" spans="1:2" x14ac:dyDescent="0.3">
      <c r="A23" s="1">
        <v>15</v>
      </c>
      <c r="B23" s="14" t="s">
        <v>28</v>
      </c>
    </row>
    <row r="24" spans="1:2" x14ac:dyDescent="0.3">
      <c r="A24" s="1">
        <v>15.1</v>
      </c>
      <c r="B24" s="14" t="s">
        <v>29</v>
      </c>
    </row>
    <row r="25" spans="1:2" x14ac:dyDescent="0.3">
      <c r="A25" s="1">
        <v>16</v>
      </c>
      <c r="B25" s="14" t="s">
        <v>30</v>
      </c>
    </row>
    <row r="26" spans="1:2" x14ac:dyDescent="0.3">
      <c r="A26" s="1">
        <v>17</v>
      </c>
      <c r="B26" s="14" t="s">
        <v>31</v>
      </c>
    </row>
    <row r="27" spans="1:2" x14ac:dyDescent="0.3">
      <c r="A27" s="1">
        <v>18</v>
      </c>
      <c r="B27" s="14" t="s">
        <v>32</v>
      </c>
    </row>
    <row r="28" spans="1:2" x14ac:dyDescent="0.3">
      <c r="A28" s="1">
        <v>19</v>
      </c>
      <c r="B28" s="14" t="s">
        <v>33</v>
      </c>
    </row>
    <row r="29" spans="1:2" x14ac:dyDescent="0.3">
      <c r="A29" s="1">
        <v>20</v>
      </c>
      <c r="B29" s="14" t="s">
        <v>34</v>
      </c>
    </row>
    <row r="30" spans="1:2" x14ac:dyDescent="0.3">
      <c r="A30" s="1">
        <v>21</v>
      </c>
      <c r="B30" s="14" t="s">
        <v>35</v>
      </c>
    </row>
    <row r="31" spans="1:2" x14ac:dyDescent="0.3">
      <c r="A31" s="1">
        <v>22</v>
      </c>
      <c r="B31" s="14" t="s">
        <v>36</v>
      </c>
    </row>
    <row r="32" spans="1:2" ht="26.4" x14ac:dyDescent="0.3">
      <c r="A32" s="1">
        <v>23</v>
      </c>
      <c r="B32" s="19" t="s">
        <v>37</v>
      </c>
    </row>
    <row r="33" spans="1:2" x14ac:dyDescent="0.3">
      <c r="A33" s="1">
        <v>24</v>
      </c>
      <c r="B33" s="14" t="s">
        <v>38</v>
      </c>
    </row>
    <row r="34" spans="1:2" x14ac:dyDescent="0.3">
      <c r="A34" s="1">
        <v>25</v>
      </c>
      <c r="B34" s="14" t="s">
        <v>39</v>
      </c>
    </row>
    <row r="35" spans="1:2" x14ac:dyDescent="0.3">
      <c r="A35" s="1">
        <v>26</v>
      </c>
      <c r="B35" s="14" t="s">
        <v>40</v>
      </c>
    </row>
  </sheetData>
  <mergeCells count="1">
    <mergeCell ref="A6:C6"/>
  </mergeCells>
  <hyperlinks>
    <hyperlink ref="B8" location="'1. key ratios'!A1" display="ცხრილი 1: ძირითადი მაჩვენებლები" xr:uid="{B529A3A2-058D-4D35-A251-06769E63607C}"/>
    <hyperlink ref="B9" location="'2. SOFP'!A1" display="საბალანსო უწყისი" xr:uid="{8EDF6097-3650-426C-B131-1897531B869D}"/>
    <hyperlink ref="B10" location="'3. SOPL'!A1" display="მოგება-ზარალის ანგარიშგება" xr:uid="{B0117A52-AB25-4C74-8DD2-E9622201FCBA}"/>
    <hyperlink ref="B11" location="'4. Off-Balance'!A1" display="ბალანსგარეშე ანგარიშების უწყისი " xr:uid="{8337A02E-326B-4FFA-8862-F3E349E8CFD5}"/>
    <hyperlink ref="B12" location="'5. RWA'!A1" display="ცხრილი 5: რისკის მიხედვით შეწონილი რისკის პოზიციები" xr:uid="{BD27005D-ADDF-41F6-8A11-6D60233E727D}"/>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1D21B10F-B6C8-4010-BDA0-2BDABC2CF936}"/>
    <hyperlink ref="B13" location="'6. Administrators-shareholders'!A1" display="ინფორმაცია ბანკის სამეთვალყურეო საბჭოს, დირექტორატის და აქციონერთა შესახებ" xr:uid="{ABE0346A-8949-42DF-881F-F33F27825B0D}"/>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A9C77E3F-823E-46F9-82F8-33B8E17F43C9}"/>
    <hyperlink ref="B16" location="'9. Capital'!A1" display="ცხრილი 9: საზედამხედველო კაპიტალი" xr:uid="{C8960097-B057-4840-BA55-C365CC7D557C}"/>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E471882F-3AD4-4F80-9905-DFFB528F53B3}"/>
    <hyperlink ref="B20" location="'12. CRM'!A1" display="საკრედიტო რისკის მიტიგაცია" xr:uid="{A3562DC1-AA88-49A3-844D-107FE0962D98}"/>
    <hyperlink ref="B19" location="'11. CRWA'!A1" display="საკრედიტო რისკის მიხედვით შეწონილი რისკის პოზიციები" xr:uid="{76DDE72D-6D50-462F-B647-D0F0E3584F17}"/>
    <hyperlink ref="B21" location="'13. CRME'!A1" display="სტანდარტიზებული მიდგომა - საკრედიტო რისკი საკრედიტო რისკის მიტიგაციის ეფექტი" xr:uid="{863E47B2-3BD6-4FD3-81E5-14596FB47F4C}"/>
    <hyperlink ref="B23" location="'15. CCR'!A1" display="კონტრაგენტთან დაკავშირებული საკრედიტო რისკის მიხედვით შეწონილი რისკის პოზიციები" xr:uid="{3C4416ED-4597-48A1-B2D4-02B41279A45F}"/>
    <hyperlink ref="B22" location="'14. LCR'!A1" display="ლიკვიდობის გადაფარვის კოეფიციენტი" xr:uid="{CF1119CD-7690-426D-9F90-748A5FDD5C8A}"/>
    <hyperlink ref="B17" location="'9.1. Capital Requirements'!A1" display="კაპიტალის ადეკვატურობის მოთხოვნები" xr:uid="{915DDEA1-2A28-4186-8A0E-A00E05E41917}"/>
    <hyperlink ref="B24" location="'15.1. LR'!A1" display="ლევერიჯის კოეფიციენტი" xr:uid="{9893A234-C9F0-47B8-BFC3-CB1223911D68}"/>
    <hyperlink ref="B25" location="'16. NSFR'!A1" display="წმინდა სტაბილური დაფინანსების კოეფიციენტი" xr:uid="{355A311D-3EAA-4F24-B717-18DA5DDF5033}"/>
    <hyperlink ref="B26" location="' 17. Residual Maturity'!A1" display="რისკის პოზიციის ღირებულება ნარჩენი ვადიანობის  და რისკის კლასების მიხედვით" xr:uid="{FBCA1017-B298-4596-ABE2-911D5135D7F7}"/>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E9929673-2E43-464B-BC80-AAD5B630E3DD}"/>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50E78104-5987-4FA0-9573-20C8E3CACB8F}"/>
    <hyperlink ref="B30" location="'21. NPL'!A1" display="უმოქმედო სესხების ცვლილება" xr:uid="{8A0D804E-D2F4-442B-8231-31D3EC6177E1}"/>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638F4AF1-FF19-4D65-A04A-F793339AAE51}"/>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B35571E0-20AD-4003-BF9B-E658A98BF3D3}"/>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3068D836-5612-458A-9CE7-AB9294EB91DA}"/>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B5A139F1-DC07-485E-83F4-779028CEAD4D}"/>
    <hyperlink ref="B29" location="'20. Reserves'!A1" display="რეზერვის ცვლილება სესხებზე და კორპორატიულ სავალო ფასიანი ქაღალდებზე" xr:uid="{C8221BE6-1FAE-4C49-BD9F-00B64EABE276}"/>
    <hyperlink ref="B35" location="'26. Retail Products'!A1" display="ზოგადი ინფორმაცია საცალო პროდუქტებზე" xr:uid="{C5DE01F5-6ED7-489C-99BA-085B75091ED1}"/>
    <hyperlink ref="C5" r:id="rId1" xr:uid="{35DFE1B9-26DF-4025-9AAF-1CAEAD9430D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03B8-320F-4510-9027-5613106593EB}">
  <dimension ref="A1:H53"/>
  <sheetViews>
    <sheetView tabSelected="1" zoomScale="115" zoomScaleNormal="115" workbookViewId="0">
      <pane xSplit="1" ySplit="5" topLeftCell="B6" activePane="bottomRight" state="frozen"/>
      <selection activeCell="B2" sqref="B2:C6"/>
      <selection pane="topRight" activeCell="B2" sqref="B2:C6"/>
      <selection pane="bottomLeft" activeCell="B2" sqref="B2:C6"/>
      <selection pane="bottomRight" activeCell="H9" sqref="H9"/>
    </sheetView>
  </sheetViews>
  <sheetFormatPr defaultRowHeight="14.4" x14ac:dyDescent="0.3"/>
  <cols>
    <col min="1" max="1" width="9.5546875" style="52" bestFit="1" customWidth="1"/>
    <col min="2" max="2" width="55.33203125" style="23" customWidth="1"/>
    <col min="3" max="3" width="12.6640625" style="23" customWidth="1"/>
    <col min="4" max="6" width="12.6640625" style="20" customWidth="1"/>
    <col min="7" max="7" width="15" style="20" customWidth="1"/>
    <col min="8" max="8" width="15.44140625" customWidth="1"/>
  </cols>
  <sheetData>
    <row r="1" spans="1:8" x14ac:dyDescent="0.3">
      <c r="A1" s="21" t="s">
        <v>41</v>
      </c>
      <c r="B1" s="22" t="str">
        <f>Info!C2</f>
        <v>სს სილქ ბანკი</v>
      </c>
    </row>
    <row r="2" spans="1:8" x14ac:dyDescent="0.3">
      <c r="A2" s="21" t="s">
        <v>42</v>
      </c>
      <c r="B2" s="24">
        <v>45747</v>
      </c>
    </row>
    <row r="3" spans="1:8" ht="15" thickBot="1" x14ac:dyDescent="0.35">
      <c r="A3" s="21"/>
    </row>
    <row r="4" spans="1:8" ht="40.5" customHeight="1" thickBot="1" x14ac:dyDescent="0.35">
      <c r="A4" s="25" t="s">
        <v>43</v>
      </c>
      <c r="B4" s="26" t="s">
        <v>12</v>
      </c>
      <c r="C4" s="774"/>
      <c r="D4" s="822" t="s">
        <v>44</v>
      </c>
      <c r="E4" s="823"/>
      <c r="F4" s="823"/>
      <c r="G4" s="824"/>
    </row>
    <row r="5" spans="1:8" x14ac:dyDescent="0.3">
      <c r="A5" s="27" t="s">
        <v>45</v>
      </c>
      <c r="B5" s="28"/>
      <c r="C5" s="775" t="str">
        <f>INT((MONTH($B$2))/3)&amp;"Q"&amp;"-"&amp;YEAR($B$2)</f>
        <v>1Q-2025</v>
      </c>
      <c r="D5" s="775" t="str">
        <f>IF(INT(MONTH($B$2))=3, "4"&amp;"Q"&amp;"-"&amp;YEAR($B$2)-1, IF(INT(MONTH($B$2))=6, "1"&amp;"Q"&amp;"-"&amp;YEAR($B$2), IF(INT(MONTH($B$2))=9, "2"&amp;"Q"&amp;"-"&amp;YEAR($B$2),IF(INT(MONTH($B$2))=12, "3"&amp;"Q"&amp;"-"&amp;YEAR($B$2), 0))))</f>
        <v>4Q-2024</v>
      </c>
      <c r="E5" s="775" t="str">
        <f>IF(INT(MONTH($B$2))=3, "3"&amp;"Q"&amp;"-"&amp;YEAR($B$2)-1, IF(INT(MONTH($B$2))=6, "4"&amp;"Q"&amp;"-"&amp;YEAR($B$2)-1, IF(INT(MONTH($B$2))=9, "1"&amp;"Q"&amp;"-"&amp;YEAR($B$2),IF(INT(MONTH($B$2))=12, "2"&amp;"Q"&amp;"-"&amp;YEAR($B$2), 0))))</f>
        <v>3Q-2024</v>
      </c>
      <c r="F5" s="775" t="str">
        <f>IF(INT(MONTH($B$2))=3, "2"&amp;"Q"&amp;"-"&amp;YEAR($B$2)-1, IF(INT(MONTH($B$2))=6, "3"&amp;"Q"&amp;"-"&amp;YEAR($B$2)-1, IF(INT(MONTH($B$2))=9, "4"&amp;"Q"&amp;"-"&amp;YEAR($B$2)-1,IF(INT(MONTH($B$2))=12, "1"&amp;"Q"&amp;"-"&amp;YEAR($B$2), 0))))</f>
        <v>2Q-2024</v>
      </c>
      <c r="G5" s="776" t="str">
        <f>IF(INT(MONTH($B$2))=3, "1"&amp;"Q"&amp;"-"&amp;YEAR($B$2)-1, IF(INT(MONTH($B$2))=6, "2"&amp;"Q"&amp;"-"&amp;YEAR($B$2)-1, IF(INT(MONTH($B$2))=9, "3"&amp;"Q"&amp;"-"&amp;YEAR($B$2)-1,IF(INT(MONTH($B$2))=12, "4"&amp;"Q"&amp;"-"&amp;YEAR($B$2)-1, 0))))</f>
        <v>1Q-2024</v>
      </c>
    </row>
    <row r="6" spans="1:8" x14ac:dyDescent="0.3">
      <c r="A6" s="29"/>
      <c r="B6" s="30" t="s">
        <v>46</v>
      </c>
      <c r="C6" s="418"/>
      <c r="D6" s="418"/>
      <c r="E6" s="418"/>
      <c r="F6" s="418"/>
      <c r="G6" s="777"/>
    </row>
    <row r="7" spans="1:8" x14ac:dyDescent="0.3">
      <c r="A7" s="29"/>
      <c r="B7" s="31" t="s">
        <v>47</v>
      </c>
      <c r="C7" s="418"/>
      <c r="D7" s="418"/>
      <c r="E7" s="418"/>
      <c r="F7" s="418"/>
      <c r="G7" s="777"/>
    </row>
    <row r="8" spans="1:8" x14ac:dyDescent="0.3">
      <c r="A8" s="32">
        <v>1</v>
      </c>
      <c r="B8" s="33" t="s">
        <v>48</v>
      </c>
      <c r="C8" s="34">
        <v>51747766.37973205</v>
      </c>
      <c r="D8" s="35">
        <v>53188998.338710487</v>
      </c>
      <c r="E8" s="35">
        <v>51619324.636120379</v>
      </c>
      <c r="F8" s="35">
        <v>53861308.084424809</v>
      </c>
      <c r="G8" s="36">
        <v>52964687.190789811</v>
      </c>
    </row>
    <row r="9" spans="1:8" x14ac:dyDescent="0.3">
      <c r="A9" s="32">
        <v>2</v>
      </c>
      <c r="B9" s="33" t="s">
        <v>49</v>
      </c>
      <c r="C9" s="34">
        <v>51747766.37973205</v>
      </c>
      <c r="D9" s="35">
        <v>53188998.338710487</v>
      </c>
      <c r="E9" s="35">
        <v>51619324.636120379</v>
      </c>
      <c r="F9" s="35">
        <v>53861308.084424809</v>
      </c>
      <c r="G9" s="36">
        <v>52964687.190789811</v>
      </c>
    </row>
    <row r="10" spans="1:8" x14ac:dyDescent="0.3">
      <c r="A10" s="32">
        <v>3</v>
      </c>
      <c r="B10" s="33" t="s">
        <v>20</v>
      </c>
      <c r="C10" s="34">
        <v>55325331.819732048</v>
      </c>
      <c r="D10" s="35">
        <v>54897778.17871049</v>
      </c>
      <c r="E10" s="35">
        <v>51619324.636120379</v>
      </c>
      <c r="F10" s="35">
        <v>53861308.084424809</v>
      </c>
      <c r="G10" s="36">
        <v>56270937.190789811</v>
      </c>
      <c r="H10" s="37"/>
    </row>
    <row r="11" spans="1:8" x14ac:dyDescent="0.3">
      <c r="A11" s="32">
        <v>4</v>
      </c>
      <c r="B11" s="33" t="s">
        <v>50</v>
      </c>
      <c r="C11" s="34">
        <v>27882901.842054613</v>
      </c>
      <c r="D11" s="35">
        <v>32076045.174846124</v>
      </c>
      <c r="E11" s="35">
        <v>28069938.316827785</v>
      </c>
      <c r="F11" s="35">
        <v>25750274.421714228</v>
      </c>
      <c r="G11" s="36">
        <v>21454146.996470381</v>
      </c>
    </row>
    <row r="12" spans="1:8" x14ac:dyDescent="0.3">
      <c r="A12" s="32">
        <v>5</v>
      </c>
      <c r="B12" s="33" t="s">
        <v>51</v>
      </c>
      <c r="C12" s="34">
        <v>34047451.761985034</v>
      </c>
      <c r="D12" s="35">
        <v>39598250.789700158</v>
      </c>
      <c r="E12" s="35">
        <v>34601075.01311706</v>
      </c>
      <c r="F12" s="35">
        <v>31650794.439727508</v>
      </c>
      <c r="G12" s="36">
        <v>26270981.806814201</v>
      </c>
    </row>
    <row r="13" spans="1:8" x14ac:dyDescent="0.3">
      <c r="A13" s="32">
        <v>6</v>
      </c>
      <c r="B13" s="33" t="s">
        <v>52</v>
      </c>
      <c r="C13" s="34">
        <v>42205997.548436426</v>
      </c>
      <c r="D13" s="35">
        <v>49546755.373009704</v>
      </c>
      <c r="E13" s="35">
        <v>43239191.929958776</v>
      </c>
      <c r="F13" s="35">
        <v>39455771.82032492</v>
      </c>
      <c r="G13" s="36">
        <v>32642275.900241766</v>
      </c>
    </row>
    <row r="14" spans="1:8" ht="27.6" x14ac:dyDescent="0.3">
      <c r="A14" s="29"/>
      <c r="B14" s="30" t="s">
        <v>53</v>
      </c>
      <c r="C14" s="418"/>
      <c r="D14" s="418"/>
      <c r="E14" s="418"/>
      <c r="F14" s="418"/>
      <c r="G14" s="777"/>
    </row>
    <row r="15" spans="1:8" ht="21.9" customHeight="1" x14ac:dyDescent="0.3">
      <c r="A15" s="32">
        <v>7</v>
      </c>
      <c r="B15" s="33" t="s">
        <v>54</v>
      </c>
      <c r="C15" s="38">
        <v>179724388.86316672</v>
      </c>
      <c r="D15" s="35">
        <v>193289342.3061606</v>
      </c>
      <c r="E15" s="35">
        <v>169160802.55217206</v>
      </c>
      <c r="F15" s="35">
        <v>156313956.20372993</v>
      </c>
      <c r="G15" s="36">
        <v>126743503.30563916</v>
      </c>
    </row>
    <row r="16" spans="1:8" x14ac:dyDescent="0.3">
      <c r="A16" s="29"/>
      <c r="B16" s="30" t="s">
        <v>55</v>
      </c>
      <c r="C16" s="418"/>
      <c r="D16" s="418"/>
      <c r="E16" s="418"/>
      <c r="F16" s="418"/>
      <c r="G16" s="777"/>
    </row>
    <row r="17" spans="1:8" x14ac:dyDescent="0.3">
      <c r="A17" s="32"/>
      <c r="B17" s="31" t="s">
        <v>1030</v>
      </c>
      <c r="C17" s="418"/>
      <c r="D17" s="418"/>
      <c r="E17" s="418"/>
      <c r="F17" s="418"/>
      <c r="G17" s="777"/>
    </row>
    <row r="18" spans="1:8" x14ac:dyDescent="0.3">
      <c r="A18" s="32">
        <v>8</v>
      </c>
      <c r="B18" s="33" t="s">
        <v>56</v>
      </c>
      <c r="C18" s="39">
        <v>0.28792845927622124</v>
      </c>
      <c r="D18" s="40">
        <v>0.27517812262231089</v>
      </c>
      <c r="E18" s="40">
        <v>0.30514944276290074</v>
      </c>
      <c r="F18" s="40">
        <v>0.3445713319047809</v>
      </c>
      <c r="G18" s="778">
        <v>0.41788877385743894</v>
      </c>
    </row>
    <row r="19" spans="1:8" ht="15" customHeight="1" x14ac:dyDescent="0.3">
      <c r="A19" s="32">
        <v>9</v>
      </c>
      <c r="B19" s="33" t="s">
        <v>57</v>
      </c>
      <c r="C19" s="39">
        <v>0.28792845927622124</v>
      </c>
      <c r="D19" s="40">
        <v>0.27517812262231089</v>
      </c>
      <c r="E19" s="40">
        <v>0.30514944276290074</v>
      </c>
      <c r="F19" s="40">
        <v>0.3445713319047809</v>
      </c>
      <c r="G19" s="778">
        <v>0.41788877385743894</v>
      </c>
    </row>
    <row r="20" spans="1:8" x14ac:dyDescent="0.3">
      <c r="A20" s="32">
        <v>10</v>
      </c>
      <c r="B20" s="33" t="s">
        <v>58</v>
      </c>
      <c r="C20" s="39">
        <v>0.30783430212053203</v>
      </c>
      <c r="D20" s="40">
        <v>0.28401865060803594</v>
      </c>
      <c r="E20" s="40">
        <v>0.30514944276290074</v>
      </c>
      <c r="F20" s="40">
        <v>0.3445713319047809</v>
      </c>
      <c r="G20" s="778">
        <v>0.44397492355165286</v>
      </c>
    </row>
    <row r="21" spans="1:8" x14ac:dyDescent="0.3">
      <c r="A21" s="32">
        <v>11</v>
      </c>
      <c r="B21" s="33" t="s">
        <v>50</v>
      </c>
      <c r="C21" s="39">
        <v>0.15514256033043616</v>
      </c>
      <c r="D21" s="40">
        <v>0.1659483383415899</v>
      </c>
      <c r="E21" s="40">
        <v>0.16593642199214881</v>
      </c>
      <c r="F21" s="40">
        <v>0.16473432729290605</v>
      </c>
      <c r="G21" s="778">
        <v>0.16927216336078527</v>
      </c>
    </row>
    <row r="22" spans="1:8" x14ac:dyDescent="0.3">
      <c r="A22" s="32">
        <v>12</v>
      </c>
      <c r="B22" s="33" t="s">
        <v>51</v>
      </c>
      <c r="C22" s="39">
        <v>0.18944257914771423</v>
      </c>
      <c r="D22" s="40">
        <v>0.20486515354260204</v>
      </c>
      <c r="E22" s="40">
        <v>0.20454546497227394</v>
      </c>
      <c r="F22" s="40">
        <v>0.20248220445828793</v>
      </c>
      <c r="G22" s="778">
        <v>0.20727675282465807</v>
      </c>
    </row>
    <row r="23" spans="1:8" x14ac:dyDescent="0.3">
      <c r="A23" s="32">
        <v>13</v>
      </c>
      <c r="B23" s="33" t="s">
        <v>52</v>
      </c>
      <c r="C23" s="39">
        <v>0.23483734074939594</v>
      </c>
      <c r="D23" s="40">
        <v>0.25633464722814431</v>
      </c>
      <c r="E23" s="40">
        <v>0.25560999520928068</v>
      </c>
      <c r="F23" s="40">
        <v>0.25241362178115889</v>
      </c>
      <c r="G23" s="778">
        <v>0.25754594948764858</v>
      </c>
    </row>
    <row r="24" spans="1:8" ht="27.6" x14ac:dyDescent="0.3">
      <c r="A24" s="29"/>
      <c r="B24" s="30" t="s">
        <v>1031</v>
      </c>
      <c r="C24" s="418"/>
      <c r="D24" s="418"/>
      <c r="E24" s="418"/>
      <c r="F24" s="418"/>
      <c r="G24" s="777"/>
    </row>
    <row r="25" spans="1:8" ht="24.6" customHeight="1" x14ac:dyDescent="0.3">
      <c r="A25" s="32">
        <v>14</v>
      </c>
      <c r="B25" s="33" t="s">
        <v>1032</v>
      </c>
      <c r="C25" s="779"/>
      <c r="D25" s="40"/>
      <c r="E25" s="40"/>
      <c r="F25" s="40"/>
      <c r="G25" s="778"/>
      <c r="H25" s="43"/>
    </row>
    <row r="26" spans="1:8" x14ac:dyDescent="0.3">
      <c r="A26" s="29"/>
      <c r="B26" s="30" t="s">
        <v>59</v>
      </c>
      <c r="C26" s="418"/>
      <c r="D26" s="418"/>
      <c r="E26" s="418"/>
      <c r="F26" s="418"/>
      <c r="G26" s="777"/>
      <c r="H26" s="43"/>
    </row>
    <row r="27" spans="1:8" x14ac:dyDescent="0.3">
      <c r="A27" s="41">
        <v>15</v>
      </c>
      <c r="B27" s="42" t="s">
        <v>60</v>
      </c>
      <c r="C27" s="789">
        <v>0.10006581640688003</v>
      </c>
      <c r="D27" s="790">
        <v>9.4266680374127429E-2</v>
      </c>
      <c r="E27" s="790">
        <v>9.2190548726309912E-2</v>
      </c>
      <c r="F27" s="790">
        <v>9.1179294660155133E-2</v>
      </c>
      <c r="G27" s="791">
        <v>9.200315630880207E-2</v>
      </c>
      <c r="H27" s="43"/>
    </row>
    <row r="28" spans="1:8" x14ac:dyDescent="0.3">
      <c r="A28" s="41">
        <v>16</v>
      </c>
      <c r="B28" s="42" t="s">
        <v>61</v>
      </c>
      <c r="C28" s="789">
        <v>5.938198184545454E-2</v>
      </c>
      <c r="D28" s="790">
        <v>6.1243666601994061E-2</v>
      </c>
      <c r="E28" s="790">
        <v>6.1005536723784823E-2</v>
      </c>
      <c r="F28" s="790">
        <v>6.0067108507144966E-2</v>
      </c>
      <c r="G28" s="791">
        <v>5.8508787000952918E-2</v>
      </c>
      <c r="H28" s="43"/>
    </row>
    <row r="29" spans="1:8" x14ac:dyDescent="0.3">
      <c r="A29" s="41">
        <v>17</v>
      </c>
      <c r="B29" s="42" t="s">
        <v>62</v>
      </c>
      <c r="C29" s="789">
        <v>-6.787592390263876E-2</v>
      </c>
      <c r="D29" s="790">
        <v>-7.2710717096834118E-2</v>
      </c>
      <c r="E29" s="790">
        <v>-6.3560866351272394E-2</v>
      </c>
      <c r="F29" s="790">
        <v>-6.9029252962158963E-2</v>
      </c>
      <c r="G29" s="791">
        <v>-5.5714462191009409E-2</v>
      </c>
      <c r="H29" s="43"/>
    </row>
    <row r="30" spans="1:8" x14ac:dyDescent="0.3">
      <c r="A30" s="41">
        <v>18</v>
      </c>
      <c r="B30" s="42" t="s">
        <v>63</v>
      </c>
      <c r="C30" s="789">
        <v>4.0683834561425498E-2</v>
      </c>
      <c r="D30" s="790">
        <v>3.3023013772133368E-2</v>
      </c>
      <c r="E30" s="790">
        <v>3.11850120025251E-2</v>
      </c>
      <c r="F30" s="790">
        <v>3.1112186153010164E-2</v>
      </c>
      <c r="G30" s="791">
        <v>3.3494369307849152E-2</v>
      </c>
      <c r="H30" s="43"/>
    </row>
    <row r="31" spans="1:8" x14ac:dyDescent="0.3">
      <c r="A31" s="41">
        <v>19</v>
      </c>
      <c r="B31" s="42" t="s">
        <v>64</v>
      </c>
      <c r="C31" s="789">
        <v>-9.1574791364158234E-2</v>
      </c>
      <c r="D31" s="790">
        <v>-5.6716925394673733E-2</v>
      </c>
      <c r="E31" s="790">
        <v>-5.9129590823036399E-2</v>
      </c>
      <c r="F31" s="790">
        <v>-4.3385615648181004E-2</v>
      </c>
      <c r="G31" s="791">
        <v>-3.0502503755938781E-2</v>
      </c>
    </row>
    <row r="32" spans="1:8" x14ac:dyDescent="0.3">
      <c r="A32" s="41">
        <v>20</v>
      </c>
      <c r="B32" s="42" t="s">
        <v>65</v>
      </c>
      <c r="C32" s="789">
        <v>-0.31441886277393033</v>
      </c>
      <c r="D32" s="790">
        <v>-0.19077251864723219</v>
      </c>
      <c r="E32" s="790">
        <v>-0.1928928788411256</v>
      </c>
      <c r="F32" s="790">
        <v>-0.13304710985146104</v>
      </c>
      <c r="G32" s="791">
        <v>-9.0847218844899644E-2</v>
      </c>
    </row>
    <row r="33" spans="1:7" ht="15" customHeight="1" x14ac:dyDescent="0.3">
      <c r="A33" s="29"/>
      <c r="B33" s="30" t="s">
        <v>66</v>
      </c>
      <c r="C33" s="780"/>
      <c r="D33" s="780"/>
      <c r="E33" s="780"/>
      <c r="F33" s="780"/>
      <c r="G33" s="781"/>
    </row>
    <row r="34" spans="1:7" x14ac:dyDescent="0.3">
      <c r="A34" s="41">
        <v>21</v>
      </c>
      <c r="B34" s="42" t="s">
        <v>67</v>
      </c>
      <c r="C34" s="789">
        <v>1.3065691780277701E-2</v>
      </c>
      <c r="D34" s="790">
        <v>1.2469114320397294E-2</v>
      </c>
      <c r="E34" s="790">
        <v>7.6898951015918768E-3</v>
      </c>
      <c r="F34" s="790">
        <v>9.4145682470673335E-3</v>
      </c>
      <c r="G34" s="791">
        <v>8.1727174329576796E-3</v>
      </c>
    </row>
    <row r="35" spans="1:7" ht="15" customHeight="1" x14ac:dyDescent="0.3">
      <c r="A35" s="41">
        <v>22</v>
      </c>
      <c r="B35" s="42" t="s">
        <v>1033</v>
      </c>
      <c r="C35" s="789">
        <v>2.2243139281515674E-2</v>
      </c>
      <c r="D35" s="790">
        <v>1.8911998569317637E-2</v>
      </c>
      <c r="E35" s="790">
        <v>1.8424538170021147E-2</v>
      </c>
      <c r="F35" s="790">
        <v>1.9906552485893944E-2</v>
      </c>
      <c r="G35" s="791">
        <v>1.9452296566206072E-2</v>
      </c>
    </row>
    <row r="36" spans="1:7" x14ac:dyDescent="0.3">
      <c r="A36" s="41">
        <v>23</v>
      </c>
      <c r="B36" s="42" t="s">
        <v>68</v>
      </c>
      <c r="C36" s="789">
        <v>0.35173537806500249</v>
      </c>
      <c r="D36" s="790">
        <v>0.37723014449309017</v>
      </c>
      <c r="E36" s="790">
        <v>0.44427692728185203</v>
      </c>
      <c r="F36" s="790">
        <v>0.43464052059948921</v>
      </c>
      <c r="G36" s="791">
        <v>0.35357684417304003</v>
      </c>
    </row>
    <row r="37" spans="1:7" ht="15" customHeight="1" x14ac:dyDescent="0.3">
      <c r="A37" s="41">
        <v>24</v>
      </c>
      <c r="B37" s="42" t="s">
        <v>69</v>
      </c>
      <c r="C37" s="789">
        <v>0.29078467354687437</v>
      </c>
      <c r="D37" s="790">
        <v>0.30920312958198098</v>
      </c>
      <c r="E37" s="790">
        <v>0.30073249210325342</v>
      </c>
      <c r="F37" s="790">
        <v>0.28218324623687308</v>
      </c>
      <c r="G37" s="791">
        <v>0.19582523758523759</v>
      </c>
    </row>
    <row r="38" spans="1:7" ht="15" customHeight="1" x14ac:dyDescent="0.3">
      <c r="A38" s="41">
        <v>25</v>
      </c>
      <c r="B38" s="42" t="s">
        <v>70</v>
      </c>
      <c r="C38" s="789">
        <v>3.6695585190813423E-2</v>
      </c>
      <c r="D38" s="790">
        <v>1.2522984586389991</v>
      </c>
      <c r="E38" s="790">
        <v>0.87448973062485047</v>
      </c>
      <c r="F38" s="790">
        <v>0.54390897021702933</v>
      </c>
      <c r="G38" s="791">
        <v>0.25224974498701153</v>
      </c>
    </row>
    <row r="39" spans="1:7" ht="15" customHeight="1" x14ac:dyDescent="0.3">
      <c r="A39" s="29"/>
      <c r="B39" s="30" t="s">
        <v>71</v>
      </c>
      <c r="C39" s="780"/>
      <c r="D39" s="780"/>
      <c r="E39" s="780"/>
      <c r="F39" s="780"/>
      <c r="G39" s="781"/>
    </row>
    <row r="40" spans="1:7" ht="15" customHeight="1" x14ac:dyDescent="0.3">
      <c r="A40" s="41">
        <v>26</v>
      </c>
      <c r="B40" s="42" t="s">
        <v>72</v>
      </c>
      <c r="C40" s="789">
        <v>0.19732076771501195</v>
      </c>
      <c r="D40" s="789">
        <v>0.21704465130752212</v>
      </c>
      <c r="E40" s="789">
        <v>0.26849145137892477</v>
      </c>
      <c r="F40" s="789">
        <v>0.26618088210862439</v>
      </c>
      <c r="G40" s="792">
        <v>0.26972521152107359</v>
      </c>
    </row>
    <row r="41" spans="1:7" ht="15" customHeight="1" x14ac:dyDescent="0.3">
      <c r="A41" s="41">
        <v>27</v>
      </c>
      <c r="B41" s="42" t="s">
        <v>73</v>
      </c>
      <c r="C41" s="789">
        <v>0.21261149390564252</v>
      </c>
      <c r="D41" s="789">
        <v>0.20465973733929491</v>
      </c>
      <c r="E41" s="789">
        <v>0.21543437856848457</v>
      </c>
      <c r="F41" s="789">
        <v>0.23223986609816202</v>
      </c>
      <c r="G41" s="792">
        <v>0.22596071470268353</v>
      </c>
    </row>
    <row r="42" spans="1:7" ht="15" customHeight="1" x14ac:dyDescent="0.3">
      <c r="A42" s="41">
        <v>28</v>
      </c>
      <c r="B42" s="44" t="s">
        <v>74</v>
      </c>
      <c r="C42" s="789">
        <v>7.3045138489445646E-2</v>
      </c>
      <c r="D42" s="789">
        <v>8.871000342639293E-2</v>
      </c>
      <c r="E42" s="789">
        <v>0.11470022484094086</v>
      </c>
      <c r="F42" s="789">
        <v>9.2623913426471735E-2</v>
      </c>
      <c r="G42" s="792">
        <v>0.14460847235995242</v>
      </c>
    </row>
    <row r="43" spans="1:7" x14ac:dyDescent="0.3">
      <c r="A43" s="45"/>
      <c r="B43" s="30" t="s">
        <v>75</v>
      </c>
      <c r="C43" s="418"/>
      <c r="D43" s="418"/>
      <c r="E43" s="418"/>
      <c r="F43" s="418"/>
      <c r="G43" s="777"/>
    </row>
    <row r="44" spans="1:7" x14ac:dyDescent="0.3">
      <c r="A44" s="41">
        <v>29</v>
      </c>
      <c r="B44" s="46" t="s">
        <v>76</v>
      </c>
      <c r="C44" s="44">
        <v>42815956.579999998</v>
      </c>
      <c r="D44" s="44">
        <v>57459901.299999997</v>
      </c>
      <c r="E44" s="44">
        <v>60047877.399999991</v>
      </c>
      <c r="F44" s="44">
        <v>65774095.029999994</v>
      </c>
      <c r="G44" s="782">
        <v>76072287.430000007</v>
      </c>
    </row>
    <row r="45" spans="1:7" x14ac:dyDescent="0.3">
      <c r="A45" s="41">
        <v>30</v>
      </c>
      <c r="B45" s="42" t="s">
        <v>77</v>
      </c>
      <c r="C45" s="44">
        <v>18858388.107000001</v>
      </c>
      <c r="D45" s="783">
        <v>19828268.733950004</v>
      </c>
      <c r="E45" s="783">
        <v>20649799.566477194</v>
      </c>
      <c r="F45" s="783">
        <v>29591437.028849997</v>
      </c>
      <c r="G45" s="784">
        <v>15889032.896350004</v>
      </c>
    </row>
    <row r="46" spans="1:7" x14ac:dyDescent="0.3">
      <c r="A46" s="47">
        <v>31</v>
      </c>
      <c r="B46" s="48" t="s">
        <v>78</v>
      </c>
      <c r="C46" s="789">
        <v>2.2703932243343345</v>
      </c>
      <c r="D46" s="789">
        <v>2.8978778768323346</v>
      </c>
      <c r="E46" s="789">
        <v>2.9079157503049804</v>
      </c>
      <c r="F46" s="789">
        <v>2.2227408207946753</v>
      </c>
      <c r="G46" s="792">
        <v>4.7877229486682715</v>
      </c>
    </row>
    <row r="47" spans="1:7" x14ac:dyDescent="0.3">
      <c r="A47" s="47"/>
      <c r="B47" s="30" t="s">
        <v>30</v>
      </c>
      <c r="C47" s="418"/>
      <c r="D47" s="418"/>
      <c r="E47" s="418"/>
      <c r="F47" s="418"/>
      <c r="G47" s="777"/>
    </row>
    <row r="48" spans="1:7" x14ac:dyDescent="0.3">
      <c r="A48" s="47">
        <v>32</v>
      </c>
      <c r="B48" s="48" t="s">
        <v>79</v>
      </c>
      <c r="C48" s="785">
        <v>160430671.54504979</v>
      </c>
      <c r="D48" s="786">
        <v>162334832.41335371</v>
      </c>
      <c r="E48" s="786">
        <v>159296629.3905389</v>
      </c>
      <c r="F48" s="786">
        <v>153490325.71242478</v>
      </c>
      <c r="G48" s="787">
        <v>131361604.27428979</v>
      </c>
    </row>
    <row r="49" spans="1:7" x14ac:dyDescent="0.3">
      <c r="A49" s="47">
        <v>33</v>
      </c>
      <c r="B49" s="48" t="s">
        <v>80</v>
      </c>
      <c r="C49" s="785">
        <v>126621302.4915107</v>
      </c>
      <c r="D49" s="786">
        <v>132503939.96915297</v>
      </c>
      <c r="E49" s="786">
        <v>117972447.44466089</v>
      </c>
      <c r="F49" s="786">
        <v>99156367.672002435</v>
      </c>
      <c r="G49" s="787">
        <v>81663496.111102581</v>
      </c>
    </row>
    <row r="50" spans="1:7" ht="15" thickBot="1" x14ac:dyDescent="0.35">
      <c r="A50" s="49">
        <v>34</v>
      </c>
      <c r="B50" s="50" t="s">
        <v>81</v>
      </c>
      <c r="C50" s="793">
        <v>1.2670116985710664</v>
      </c>
      <c r="D50" s="794">
        <v>1.225132116457408</v>
      </c>
      <c r="E50" s="794">
        <v>1.3502867223744135</v>
      </c>
      <c r="F50" s="794">
        <v>1.5479623680866637</v>
      </c>
      <c r="G50" s="795">
        <v>1.608571889887904</v>
      </c>
    </row>
    <row r="51" spans="1:7" ht="15.6" customHeight="1" x14ac:dyDescent="0.3">
      <c r="A51" s="51"/>
    </row>
    <row r="52" spans="1:7" x14ac:dyDescent="0.3">
      <c r="B52" s="53"/>
    </row>
    <row r="53" spans="1:7" ht="100.8" customHeight="1" x14ac:dyDescent="0.3">
      <c r="B53" s="788" t="s">
        <v>82</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E045-8D0D-4193-B79E-1120C118F4B0}">
  <dimension ref="A1:L69"/>
  <sheetViews>
    <sheetView topLeftCell="A56" zoomScale="115" zoomScaleNormal="115" workbookViewId="0">
      <selection activeCell="D6" sqref="D6"/>
    </sheetView>
  </sheetViews>
  <sheetFormatPr defaultRowHeight="14.4" x14ac:dyDescent="0.3"/>
  <cols>
    <col min="1" max="1" width="8.88671875" style="97"/>
    <col min="2" max="2" width="69.33203125" style="98" customWidth="1"/>
    <col min="3" max="3" width="15.6640625" style="56" customWidth="1"/>
    <col min="4" max="4" width="14.44140625" style="56" customWidth="1"/>
    <col min="5" max="5" width="13.109375" style="56" customWidth="1"/>
    <col min="6" max="6" width="15.109375" style="56" customWidth="1"/>
    <col min="7" max="7" width="13.44140625" style="56" customWidth="1"/>
    <col min="8" max="8" width="13.109375" style="56" customWidth="1"/>
    <col min="9" max="9" width="3" customWidth="1"/>
    <col min="10" max="11" width="13.6640625" customWidth="1"/>
    <col min="12" max="12" width="13.109375" bestFit="1" customWidth="1"/>
  </cols>
  <sheetData>
    <row r="1" spans="1:10" x14ac:dyDescent="0.3">
      <c r="A1" s="21" t="s">
        <v>41</v>
      </c>
      <c r="B1" s="22" t="str">
        <f>Info!C2</f>
        <v>სს სილქ ბანკი</v>
      </c>
      <c r="C1" s="54"/>
      <c r="D1" s="55"/>
      <c r="E1" s="55"/>
      <c r="F1" s="55"/>
      <c r="G1" s="55"/>
    </row>
    <row r="2" spans="1:10" x14ac:dyDescent="0.3">
      <c r="A2" s="21" t="s">
        <v>42</v>
      </c>
      <c r="B2" s="24">
        <f>'1. key ratios'!B2</f>
        <v>45747</v>
      </c>
      <c r="C2" s="54"/>
      <c r="D2" s="55"/>
      <c r="E2" s="55"/>
      <c r="F2" s="55"/>
      <c r="G2" s="55"/>
    </row>
    <row r="3" spans="1:10" ht="15" thickBot="1" x14ac:dyDescent="0.35">
      <c r="A3" s="21"/>
      <c r="B3" s="23"/>
      <c r="C3" s="54"/>
      <c r="D3" s="55"/>
      <c r="E3" s="55"/>
      <c r="F3" s="55"/>
      <c r="G3" s="55"/>
    </row>
    <row r="4" spans="1:10" ht="40.5" customHeight="1" x14ac:dyDescent="0.3">
      <c r="A4" s="825" t="s">
        <v>45</v>
      </c>
      <c r="B4" s="826" t="s">
        <v>83</v>
      </c>
      <c r="C4" s="828" t="s">
        <v>84</v>
      </c>
      <c r="D4" s="828"/>
      <c r="E4" s="828"/>
      <c r="F4" s="828" t="s">
        <v>85</v>
      </c>
      <c r="G4" s="828"/>
      <c r="H4" s="829"/>
      <c r="J4" s="58"/>
    </row>
    <row r="5" spans="1:10" ht="21" customHeight="1" x14ac:dyDescent="0.3">
      <c r="A5" s="825"/>
      <c r="B5" s="827"/>
      <c r="C5" s="59" t="s">
        <v>86</v>
      </c>
      <c r="D5" s="59" t="s">
        <v>87</v>
      </c>
      <c r="E5" s="59" t="s">
        <v>88</v>
      </c>
      <c r="F5" s="59" t="s">
        <v>86</v>
      </c>
      <c r="G5" s="59" t="s">
        <v>87</v>
      </c>
      <c r="H5" s="59" t="s">
        <v>88</v>
      </c>
    </row>
    <row r="6" spans="1:10" ht="26.4" customHeight="1" x14ac:dyDescent="0.3">
      <c r="A6" s="825"/>
      <c r="B6" s="60" t="s">
        <v>89</v>
      </c>
      <c r="C6" s="61"/>
      <c r="D6" s="62"/>
      <c r="E6" s="62"/>
      <c r="F6" s="62"/>
      <c r="G6" s="62"/>
      <c r="H6" s="63"/>
    </row>
    <row r="7" spans="1:10" ht="23.1" customHeight="1" x14ac:dyDescent="0.3">
      <c r="A7" s="65">
        <v>1</v>
      </c>
      <c r="B7" s="66" t="s">
        <v>91</v>
      </c>
      <c r="C7" s="67">
        <f>SUM(C8:C10)</f>
        <v>11170211.050000032</v>
      </c>
      <c r="D7" s="67">
        <f>SUM(D8:D10)</f>
        <v>19289902.829999998</v>
      </c>
      <c r="E7" s="68">
        <f>C7+D7</f>
        <v>30460113.880000032</v>
      </c>
      <c r="F7" s="67">
        <v>48727859.480488531</v>
      </c>
      <c r="G7" s="67">
        <v>8146041.0899999924</v>
      </c>
      <c r="H7" s="68">
        <v>56873900.570488527</v>
      </c>
      <c r="J7" s="56"/>
    </row>
    <row r="8" spans="1:10" x14ac:dyDescent="0.3">
      <c r="A8" s="65">
        <v>1.1000000000000001</v>
      </c>
      <c r="B8" s="69" t="s">
        <v>92</v>
      </c>
      <c r="C8" s="67">
        <v>1388013.2999999989</v>
      </c>
      <c r="D8" s="67">
        <v>3054580.6499999994</v>
      </c>
      <c r="E8" s="68">
        <f t="shared" ref="E8:E36" si="0">C8+D8</f>
        <v>4442593.9499999983</v>
      </c>
      <c r="F8" s="67">
        <v>845031.09999999963</v>
      </c>
      <c r="G8" s="67">
        <v>2620496.5399999986</v>
      </c>
      <c r="H8" s="68">
        <v>3465527.6399999983</v>
      </c>
    </row>
    <row r="9" spans="1:10" x14ac:dyDescent="0.3">
      <c r="A9" s="65">
        <v>1.2</v>
      </c>
      <c r="B9" s="69" t="s">
        <v>93</v>
      </c>
      <c r="C9" s="67">
        <v>899105.34000003338</v>
      </c>
      <c r="D9" s="67">
        <v>2920806.1</v>
      </c>
      <c r="E9" s="68">
        <f t="shared" si="0"/>
        <v>3819911.4400000335</v>
      </c>
      <c r="F9" s="67">
        <v>1206570.6900000274</v>
      </c>
      <c r="G9" s="67">
        <v>2291929.2700000014</v>
      </c>
      <c r="H9" s="68">
        <v>3498499.9600000288</v>
      </c>
    </row>
    <row r="10" spans="1:10" x14ac:dyDescent="0.3">
      <c r="A10" s="65">
        <v>1.3</v>
      </c>
      <c r="B10" s="69" t="s">
        <v>94</v>
      </c>
      <c r="C10" s="70">
        <v>8883092.4100000001</v>
      </c>
      <c r="D10" s="70">
        <v>13314516.079999998</v>
      </c>
      <c r="E10" s="68">
        <f t="shared" si="0"/>
        <v>22197608.489999998</v>
      </c>
      <c r="F10" s="67">
        <v>46676257.690488502</v>
      </c>
      <c r="G10" s="67">
        <v>3233615.2799999919</v>
      </c>
      <c r="H10" s="68">
        <v>49909872.970488496</v>
      </c>
    </row>
    <row r="11" spans="1:10" x14ac:dyDescent="0.3">
      <c r="A11" s="65">
        <v>2</v>
      </c>
      <c r="B11" s="71" t="s">
        <v>95</v>
      </c>
      <c r="C11" s="67">
        <f>C12</f>
        <v>150046.31047218281</v>
      </c>
      <c r="D11" s="67">
        <f>D12</f>
        <v>0</v>
      </c>
      <c r="E11" s="68">
        <f t="shared" si="0"/>
        <v>150046.31047218281</v>
      </c>
      <c r="F11" s="67">
        <v>237228.68790341541</v>
      </c>
      <c r="G11" s="67">
        <v>32870</v>
      </c>
      <c r="H11" s="68">
        <v>270098.68790341541</v>
      </c>
      <c r="J11" s="56"/>
    </row>
    <row r="12" spans="1:10" x14ac:dyDescent="0.3">
      <c r="A12" s="65">
        <v>2.1</v>
      </c>
      <c r="B12" s="72" t="s">
        <v>96</v>
      </c>
      <c r="C12" s="67">
        <v>150046.31047218281</v>
      </c>
      <c r="D12" s="67">
        <v>0</v>
      </c>
      <c r="E12" s="68">
        <f t="shared" si="0"/>
        <v>150046.31047218281</v>
      </c>
      <c r="F12" s="67">
        <v>237228.68790341541</v>
      </c>
      <c r="G12" s="67">
        <v>32870</v>
      </c>
      <c r="H12" s="68">
        <v>270098.68790341541</v>
      </c>
    </row>
    <row r="13" spans="1:10" ht="26.4" customHeight="1" x14ac:dyDescent="0.3">
      <c r="A13" s="65">
        <v>3</v>
      </c>
      <c r="B13" s="73" t="s">
        <v>97</v>
      </c>
      <c r="C13" s="67"/>
      <c r="D13" s="67"/>
      <c r="E13" s="68">
        <f t="shared" si="0"/>
        <v>0</v>
      </c>
      <c r="F13" s="67"/>
      <c r="G13" s="67"/>
      <c r="H13" s="68">
        <v>0</v>
      </c>
    </row>
    <row r="14" spans="1:10" ht="26.4" customHeight="1" x14ac:dyDescent="0.3">
      <c r="A14" s="65">
        <v>4</v>
      </c>
      <c r="B14" s="74" t="s">
        <v>98</v>
      </c>
      <c r="C14" s="67"/>
      <c r="D14" s="67"/>
      <c r="E14" s="68">
        <f t="shared" si="0"/>
        <v>0</v>
      </c>
      <c r="F14" s="67"/>
      <c r="G14" s="67"/>
      <c r="H14" s="68">
        <v>0</v>
      </c>
    </row>
    <row r="15" spans="1:10" ht="24.6" customHeight="1" x14ac:dyDescent="0.3">
      <c r="A15" s="65">
        <v>5</v>
      </c>
      <c r="B15" s="74" t="s">
        <v>99</v>
      </c>
      <c r="C15" s="75">
        <f>SUM(C16:C18)</f>
        <v>20000</v>
      </c>
      <c r="D15" s="75">
        <f>SUM(D16:D18)</f>
        <v>0</v>
      </c>
      <c r="E15" s="76">
        <f t="shared" si="0"/>
        <v>20000</v>
      </c>
      <c r="F15" s="75">
        <v>20000</v>
      </c>
      <c r="G15" s="75">
        <v>0</v>
      </c>
      <c r="H15" s="76">
        <v>20000</v>
      </c>
    </row>
    <row r="16" spans="1:10" x14ac:dyDescent="0.3">
      <c r="A16" s="65">
        <v>5.0999999999999996</v>
      </c>
      <c r="B16" s="77" t="s">
        <v>100</v>
      </c>
      <c r="C16" s="67">
        <v>20000</v>
      </c>
      <c r="D16" s="67"/>
      <c r="E16" s="68">
        <f t="shared" si="0"/>
        <v>20000</v>
      </c>
      <c r="F16" s="67">
        <v>20000</v>
      </c>
      <c r="G16" s="67"/>
      <c r="H16" s="68">
        <v>20000</v>
      </c>
    </row>
    <row r="17" spans="1:10" x14ac:dyDescent="0.3">
      <c r="A17" s="65">
        <v>5.2</v>
      </c>
      <c r="B17" s="77" t="s">
        <v>101</v>
      </c>
      <c r="C17" s="67"/>
      <c r="D17" s="67"/>
      <c r="E17" s="68">
        <f t="shared" si="0"/>
        <v>0</v>
      </c>
      <c r="F17" s="67"/>
      <c r="G17" s="67"/>
      <c r="H17" s="68">
        <v>0</v>
      </c>
    </row>
    <row r="18" spans="1:10" x14ac:dyDescent="0.3">
      <c r="A18" s="65">
        <v>5.3</v>
      </c>
      <c r="B18" s="77" t="s">
        <v>102</v>
      </c>
      <c r="C18" s="67"/>
      <c r="D18" s="67"/>
      <c r="E18" s="68">
        <f t="shared" si="0"/>
        <v>0</v>
      </c>
      <c r="F18" s="67"/>
      <c r="G18" s="67"/>
      <c r="H18" s="68">
        <v>0</v>
      </c>
    </row>
    <row r="19" spans="1:10" x14ac:dyDescent="0.3">
      <c r="A19" s="65">
        <v>6</v>
      </c>
      <c r="B19" s="73" t="s">
        <v>103</v>
      </c>
      <c r="C19" s="67">
        <f>SUM(C20:C21)</f>
        <v>107611802.96908198</v>
      </c>
      <c r="D19" s="67">
        <f>SUM(D20:D21)</f>
        <v>46324836.243855208</v>
      </c>
      <c r="E19" s="68">
        <f t="shared" si="0"/>
        <v>153936639.21293718</v>
      </c>
      <c r="F19" s="67">
        <v>69178145.411326706</v>
      </c>
      <c r="G19" s="67">
        <v>27121459.662280895</v>
      </c>
      <c r="H19" s="68">
        <v>96299605.073607594</v>
      </c>
      <c r="J19" s="56"/>
    </row>
    <row r="20" spans="1:10" x14ac:dyDescent="0.3">
      <c r="A20" s="65">
        <v>6.1</v>
      </c>
      <c r="B20" s="77" t="s">
        <v>101</v>
      </c>
      <c r="C20" s="67">
        <v>24301148.331410542</v>
      </c>
      <c r="D20" s="67">
        <v>0</v>
      </c>
      <c r="E20" s="68">
        <f t="shared" si="0"/>
        <v>24301148.331410542</v>
      </c>
      <c r="F20" s="67">
        <v>24308413.891369052</v>
      </c>
      <c r="G20" s="67">
        <v>2268276.397196</v>
      </c>
      <c r="H20" s="68">
        <v>26576690.288565051</v>
      </c>
    </row>
    <row r="21" spans="1:10" x14ac:dyDescent="0.3">
      <c r="A21" s="65">
        <v>6.2</v>
      </c>
      <c r="B21" s="77" t="s">
        <v>102</v>
      </c>
      <c r="C21" s="67">
        <v>83310654.637671441</v>
      </c>
      <c r="D21" s="67">
        <v>46324836.243855208</v>
      </c>
      <c r="E21" s="68">
        <f t="shared" si="0"/>
        <v>129635490.88152665</v>
      </c>
      <c r="F21" s="70">
        <v>44869731.519957662</v>
      </c>
      <c r="G21" s="70">
        <v>24853183.265084896</v>
      </c>
      <c r="H21" s="68">
        <v>69722914.785042554</v>
      </c>
    </row>
    <row r="22" spans="1:10" x14ac:dyDescent="0.3">
      <c r="A22" s="65">
        <v>7</v>
      </c>
      <c r="B22" s="78" t="s">
        <v>104</v>
      </c>
      <c r="C22" s="67"/>
      <c r="D22" s="67"/>
      <c r="E22" s="68">
        <f t="shared" si="0"/>
        <v>0</v>
      </c>
      <c r="F22" s="67"/>
      <c r="G22" s="67"/>
      <c r="H22" s="68">
        <v>0</v>
      </c>
    </row>
    <row r="23" spans="1:10" x14ac:dyDescent="0.3">
      <c r="A23" s="65">
        <v>8</v>
      </c>
      <c r="B23" s="79" t="s">
        <v>105</v>
      </c>
      <c r="C23" s="67">
        <v>3482447.7104663118</v>
      </c>
      <c r="D23" s="67">
        <v>0</v>
      </c>
      <c r="E23" s="68">
        <f t="shared" si="0"/>
        <v>3482447.7104663118</v>
      </c>
      <c r="F23" s="67">
        <v>3415583.8600753136</v>
      </c>
      <c r="G23" s="67">
        <v>0</v>
      </c>
      <c r="H23" s="68">
        <v>3415583.8600753136</v>
      </c>
      <c r="J23" s="56"/>
    </row>
    <row r="24" spans="1:10" x14ac:dyDescent="0.3">
      <c r="A24" s="65">
        <v>9</v>
      </c>
      <c r="B24" s="74" t="s">
        <v>106</v>
      </c>
      <c r="C24" s="67">
        <f>SUM(C25:C26)</f>
        <v>17965176.992951196</v>
      </c>
      <c r="D24" s="67">
        <f>SUM(D25:D26)</f>
        <v>0</v>
      </c>
      <c r="E24" s="68">
        <f>C24+D24</f>
        <v>17965176.992951196</v>
      </c>
      <c r="F24" s="67">
        <v>17187770.360000003</v>
      </c>
      <c r="G24" s="67">
        <v>0</v>
      </c>
      <c r="H24" s="68">
        <v>17187770.360000003</v>
      </c>
      <c r="J24" s="56"/>
    </row>
    <row r="25" spans="1:10" x14ac:dyDescent="0.3">
      <c r="A25" s="65">
        <v>9.1</v>
      </c>
      <c r="B25" s="80" t="s">
        <v>107</v>
      </c>
      <c r="C25" s="67">
        <v>17965176.992951196</v>
      </c>
      <c r="D25" s="67"/>
      <c r="E25" s="68">
        <f>C25+D25</f>
        <v>17965176.992951196</v>
      </c>
      <c r="F25" s="67">
        <v>17187770.360000003</v>
      </c>
      <c r="G25" s="67"/>
      <c r="H25" s="68">
        <v>17187770.360000003</v>
      </c>
      <c r="J25" s="56"/>
    </row>
    <row r="26" spans="1:10" x14ac:dyDescent="0.3">
      <c r="A26" s="65">
        <v>9.1999999999999993</v>
      </c>
      <c r="B26" s="80" t="s">
        <v>108</v>
      </c>
      <c r="C26" s="67"/>
      <c r="D26" s="67"/>
      <c r="E26" s="68">
        <f>C26+D26</f>
        <v>0</v>
      </c>
      <c r="F26" s="67"/>
      <c r="G26" s="67"/>
      <c r="H26" s="68">
        <v>0</v>
      </c>
      <c r="J26" s="56"/>
    </row>
    <row r="27" spans="1:10" x14ac:dyDescent="0.3">
      <c r="A27" s="65">
        <v>10</v>
      </c>
      <c r="B27" s="74" t="s">
        <v>109</v>
      </c>
      <c r="C27" s="67">
        <f>SUM(C28:C29)</f>
        <v>12826055.879999995</v>
      </c>
      <c r="D27" s="67">
        <f>SUM(D28:D29)</f>
        <v>0</v>
      </c>
      <c r="E27" s="68">
        <f t="shared" si="0"/>
        <v>12826055.879999995</v>
      </c>
      <c r="F27" s="67">
        <v>1230937.5900000008</v>
      </c>
      <c r="G27" s="67">
        <v>0</v>
      </c>
      <c r="H27" s="68">
        <v>1230937.5900000008</v>
      </c>
      <c r="J27" s="56"/>
    </row>
    <row r="28" spans="1:10" x14ac:dyDescent="0.3">
      <c r="A28" s="65">
        <v>10.1</v>
      </c>
      <c r="B28" s="80" t="s">
        <v>110</v>
      </c>
      <c r="C28" s="67"/>
      <c r="D28" s="67"/>
      <c r="E28" s="68">
        <f t="shared" si="0"/>
        <v>0</v>
      </c>
      <c r="F28" s="67"/>
      <c r="G28" s="67"/>
      <c r="H28" s="68">
        <v>0</v>
      </c>
      <c r="J28" s="56"/>
    </row>
    <row r="29" spans="1:10" x14ac:dyDescent="0.3">
      <c r="A29" s="65">
        <v>10.199999999999999</v>
      </c>
      <c r="B29" s="80" t="s">
        <v>111</v>
      </c>
      <c r="C29" s="67">
        <v>12826055.879999995</v>
      </c>
      <c r="D29" s="67"/>
      <c r="E29" s="68">
        <f t="shared" si="0"/>
        <v>12826055.879999995</v>
      </c>
      <c r="F29" s="67">
        <v>1230937.5900000008</v>
      </c>
      <c r="G29" s="67"/>
      <c r="H29" s="68">
        <v>1230937.5900000008</v>
      </c>
      <c r="J29" s="56"/>
    </row>
    <row r="30" spans="1:10" x14ac:dyDescent="0.3">
      <c r="A30" s="65">
        <v>11</v>
      </c>
      <c r="B30" s="74" t="s">
        <v>112</v>
      </c>
      <c r="C30" s="67">
        <f>SUM(C31:C32)</f>
        <v>1252718.6304127974</v>
      </c>
      <c r="D30" s="67">
        <f>SUM(D31:D32)</f>
        <v>0</v>
      </c>
      <c r="E30" s="68">
        <f t="shared" si="0"/>
        <v>1252718.6304127974</v>
      </c>
      <c r="F30" s="67">
        <v>45248.5</v>
      </c>
      <c r="G30" s="67">
        <v>0</v>
      </c>
      <c r="H30" s="68">
        <v>45248.5</v>
      </c>
      <c r="J30" s="56"/>
    </row>
    <row r="31" spans="1:10" x14ac:dyDescent="0.3">
      <c r="A31" s="65">
        <v>11.1</v>
      </c>
      <c r="B31" s="80" t="s">
        <v>113</v>
      </c>
      <c r="C31" s="67">
        <v>45248.5</v>
      </c>
      <c r="D31" s="67"/>
      <c r="E31" s="68">
        <f t="shared" si="0"/>
        <v>45248.5</v>
      </c>
      <c r="F31" s="67">
        <v>45248.5</v>
      </c>
      <c r="G31" s="67"/>
      <c r="H31" s="68">
        <v>45248.5</v>
      </c>
      <c r="J31" s="56"/>
    </row>
    <row r="32" spans="1:10" x14ac:dyDescent="0.3">
      <c r="A32" s="65">
        <v>11.2</v>
      </c>
      <c r="B32" s="80" t="s">
        <v>114</v>
      </c>
      <c r="C32" s="67">
        <v>1207470.1304127974</v>
      </c>
      <c r="D32" s="67"/>
      <c r="E32" s="68">
        <f t="shared" si="0"/>
        <v>1207470.1304127974</v>
      </c>
      <c r="F32" s="67"/>
      <c r="G32" s="67"/>
      <c r="H32" s="68">
        <v>0</v>
      </c>
      <c r="J32" s="56"/>
    </row>
    <row r="33" spans="1:12" x14ac:dyDescent="0.3">
      <c r="A33" s="65">
        <v>13</v>
      </c>
      <c r="B33" s="74" t="s">
        <v>115</v>
      </c>
      <c r="C33" s="70">
        <v>5695914.7586899986</v>
      </c>
      <c r="D33" s="70">
        <v>58196.81</v>
      </c>
      <c r="E33" s="68">
        <f t="shared" si="0"/>
        <v>5754111.5686899982</v>
      </c>
      <c r="F33" s="67">
        <v>5097179.74</v>
      </c>
      <c r="G33" s="67">
        <v>42775.08</v>
      </c>
      <c r="H33" s="68">
        <v>5139954.82</v>
      </c>
      <c r="J33" s="56"/>
    </row>
    <row r="34" spans="1:12" x14ac:dyDescent="0.3">
      <c r="A34" s="65">
        <v>13.1</v>
      </c>
      <c r="B34" s="81" t="s">
        <v>116</v>
      </c>
      <c r="C34" s="67"/>
      <c r="D34" s="67"/>
      <c r="E34" s="68">
        <f t="shared" si="0"/>
        <v>0</v>
      </c>
      <c r="F34" s="67"/>
      <c r="G34" s="67"/>
      <c r="H34" s="68">
        <v>0</v>
      </c>
      <c r="J34" s="56"/>
    </row>
    <row r="35" spans="1:12" x14ac:dyDescent="0.3">
      <c r="A35" s="65">
        <v>13.2</v>
      </c>
      <c r="B35" s="81" t="s">
        <v>117</v>
      </c>
      <c r="C35" s="67"/>
      <c r="D35" s="67"/>
      <c r="E35" s="68">
        <f t="shared" si="0"/>
        <v>0</v>
      </c>
      <c r="F35" s="67"/>
      <c r="G35" s="67"/>
      <c r="H35" s="68">
        <v>0</v>
      </c>
      <c r="J35" s="56"/>
    </row>
    <row r="36" spans="1:12" x14ac:dyDescent="0.3">
      <c r="A36" s="65">
        <v>14</v>
      </c>
      <c r="B36" s="82" t="s">
        <v>118</v>
      </c>
      <c r="C36" s="67">
        <f>SUM(C7,C11,C13,C14,C15,C19,C22,C23,C24,C27,C30,C33)</f>
        <v>160174374.30207449</v>
      </c>
      <c r="D36" s="67">
        <f>SUM(D7,D11,D13,D14,D15,D19,D22,D23,D24,D27,D30,D33)</f>
        <v>65672935.883855209</v>
      </c>
      <c r="E36" s="68">
        <f t="shared" si="0"/>
        <v>225847310.18592972</v>
      </c>
      <c r="F36" s="67">
        <v>145139953.62979397</v>
      </c>
      <c r="G36" s="67">
        <v>35343145.832280889</v>
      </c>
      <c r="H36" s="68">
        <v>180483099.46207488</v>
      </c>
      <c r="J36" s="56"/>
    </row>
    <row r="37" spans="1:12" ht="22.5" customHeight="1" x14ac:dyDescent="0.3">
      <c r="A37" s="65"/>
      <c r="B37" s="83" t="s">
        <v>119</v>
      </c>
      <c r="C37" s="84"/>
      <c r="D37" s="85"/>
      <c r="E37" s="86"/>
      <c r="F37" s="85"/>
      <c r="G37" s="85"/>
      <c r="H37" s="87"/>
    </row>
    <row r="38" spans="1:12" x14ac:dyDescent="0.3">
      <c r="A38" s="65">
        <v>15</v>
      </c>
      <c r="B38" s="88" t="s">
        <v>120</v>
      </c>
      <c r="C38" s="67">
        <f>C39</f>
        <v>0</v>
      </c>
      <c r="D38" s="67">
        <f>D39</f>
        <v>35893.766611955027</v>
      </c>
      <c r="E38" s="68">
        <f>C38+D38</f>
        <v>35893.766611955027</v>
      </c>
      <c r="F38" s="67">
        <v>2155</v>
      </c>
      <c r="G38" s="67">
        <v>0</v>
      </c>
      <c r="H38" s="68">
        <v>2155</v>
      </c>
      <c r="L38" s="58"/>
    </row>
    <row r="39" spans="1:12" x14ac:dyDescent="0.3">
      <c r="A39" s="65">
        <v>15.1</v>
      </c>
      <c r="B39" s="72" t="s">
        <v>96</v>
      </c>
      <c r="C39" s="67">
        <v>0</v>
      </c>
      <c r="D39" s="67">
        <v>35893.766611955027</v>
      </c>
      <c r="E39" s="68">
        <f t="shared" ref="E39:E53" si="1">C39+D39</f>
        <v>35893.766611955027</v>
      </c>
      <c r="F39" s="67">
        <v>2155</v>
      </c>
      <c r="G39" s="67">
        <v>0</v>
      </c>
      <c r="H39" s="68">
        <v>2155</v>
      </c>
      <c r="J39" s="56"/>
    </row>
    <row r="40" spans="1:12" ht="24" customHeight="1" x14ac:dyDescent="0.3">
      <c r="A40" s="65">
        <v>16</v>
      </c>
      <c r="B40" s="89" t="s">
        <v>121</v>
      </c>
      <c r="C40" s="67"/>
      <c r="D40" s="67"/>
      <c r="E40" s="68">
        <f t="shared" si="1"/>
        <v>0</v>
      </c>
      <c r="F40" s="67"/>
      <c r="G40" s="67"/>
      <c r="H40" s="68">
        <v>0</v>
      </c>
      <c r="J40" s="58"/>
    </row>
    <row r="41" spans="1:12" x14ac:dyDescent="0.3">
      <c r="A41" s="65">
        <v>17</v>
      </c>
      <c r="B41" s="89" t="s">
        <v>122</v>
      </c>
      <c r="C41" s="67">
        <f>SUM(C42:C45)</f>
        <v>120162886.71323782</v>
      </c>
      <c r="D41" s="67">
        <f>SUM(D42:D45)</f>
        <v>27897765.28670942</v>
      </c>
      <c r="E41" s="68">
        <f t="shared" si="1"/>
        <v>148060651.99994725</v>
      </c>
      <c r="F41" s="67">
        <v>92869254.174346164</v>
      </c>
      <c r="G41" s="67">
        <v>22337695.919999998</v>
      </c>
      <c r="H41" s="68">
        <v>115206950.09434617</v>
      </c>
      <c r="L41" s="90"/>
    </row>
    <row r="42" spans="1:12" x14ac:dyDescent="0.3">
      <c r="A42" s="65">
        <v>17.100000000000001</v>
      </c>
      <c r="B42" s="91" t="s">
        <v>123</v>
      </c>
      <c r="C42" s="70">
        <v>120149400.54279819</v>
      </c>
      <c r="D42" s="70">
        <v>27123303.230000019</v>
      </c>
      <c r="E42" s="68">
        <f t="shared" si="1"/>
        <v>147272703.77279821</v>
      </c>
      <c r="F42" s="70">
        <v>92844455.204346165</v>
      </c>
      <c r="G42" s="70">
        <v>21006806.449999999</v>
      </c>
      <c r="H42" s="68">
        <v>113851261.65434617</v>
      </c>
      <c r="J42" s="56"/>
    </row>
    <row r="43" spans="1:12" x14ac:dyDescent="0.3">
      <c r="A43" s="65">
        <v>17.2</v>
      </c>
      <c r="B43" s="69" t="s">
        <v>124</v>
      </c>
      <c r="C43" s="67">
        <v>0</v>
      </c>
      <c r="D43" s="67">
        <v>0</v>
      </c>
      <c r="E43" s="68">
        <f t="shared" si="1"/>
        <v>0</v>
      </c>
      <c r="F43" s="67">
        <v>0</v>
      </c>
      <c r="G43" s="67">
        <v>0</v>
      </c>
      <c r="H43" s="68">
        <v>0</v>
      </c>
      <c r="J43" s="56"/>
    </row>
    <row r="44" spans="1:12" x14ac:dyDescent="0.3">
      <c r="A44" s="65">
        <v>17.3</v>
      </c>
      <c r="B44" s="91" t="s">
        <v>125</v>
      </c>
      <c r="C44" s="67"/>
      <c r="D44" s="67"/>
      <c r="E44" s="68">
        <f t="shared" si="1"/>
        <v>0</v>
      </c>
      <c r="F44" s="67"/>
      <c r="G44" s="67"/>
      <c r="H44" s="68">
        <v>0</v>
      </c>
    </row>
    <row r="45" spans="1:12" x14ac:dyDescent="0.3">
      <c r="A45" s="65">
        <v>17.399999999999999</v>
      </c>
      <c r="B45" s="91" t="s">
        <v>126</v>
      </c>
      <c r="C45" s="70">
        <v>13486.170439631496</v>
      </c>
      <c r="D45" s="70">
        <v>774462.05670940271</v>
      </c>
      <c r="E45" s="68">
        <f t="shared" si="1"/>
        <v>787948.22714903415</v>
      </c>
      <c r="F45" s="70">
        <v>24798.97</v>
      </c>
      <c r="G45" s="70">
        <v>1330889.47</v>
      </c>
      <c r="H45" s="68">
        <v>1355688.44</v>
      </c>
      <c r="J45" s="56"/>
    </row>
    <row r="46" spans="1:12" x14ac:dyDescent="0.3">
      <c r="A46" s="65">
        <v>18</v>
      </c>
      <c r="B46" s="74" t="s">
        <v>127</v>
      </c>
      <c r="C46" s="67">
        <v>87453.985942712286</v>
      </c>
      <c r="D46" s="67">
        <v>12690.656533048554</v>
      </c>
      <c r="E46" s="68">
        <f t="shared" si="1"/>
        <v>100144.64247576083</v>
      </c>
      <c r="F46" s="70">
        <v>29842.053043312611</v>
      </c>
      <c r="G46" s="67">
        <v>20793.016256400082</v>
      </c>
      <c r="H46" s="68">
        <v>50635.06929971269</v>
      </c>
      <c r="J46" s="56"/>
    </row>
    <row r="47" spans="1:12" x14ac:dyDescent="0.3">
      <c r="A47" s="65">
        <v>19</v>
      </c>
      <c r="B47" s="74" t="s">
        <v>128</v>
      </c>
      <c r="C47" s="67">
        <f>SUM(C48:C49)</f>
        <v>0</v>
      </c>
      <c r="D47" s="67">
        <f>SUM(D48:D49)</f>
        <v>0</v>
      </c>
      <c r="E47" s="68">
        <f t="shared" si="1"/>
        <v>0</v>
      </c>
      <c r="F47" s="67">
        <v>1157682.7731685017</v>
      </c>
      <c r="G47" s="67">
        <v>0</v>
      </c>
      <c r="H47" s="68">
        <v>1157682.7731685017</v>
      </c>
    </row>
    <row r="48" spans="1:12" x14ac:dyDescent="0.3">
      <c r="A48" s="65">
        <v>19.100000000000001</v>
      </c>
      <c r="B48" s="92" t="s">
        <v>129</v>
      </c>
      <c r="C48" s="67">
        <v>0</v>
      </c>
      <c r="D48" s="67">
        <v>0</v>
      </c>
      <c r="E48" s="68">
        <f t="shared" si="1"/>
        <v>0</v>
      </c>
      <c r="F48" s="67">
        <v>0</v>
      </c>
      <c r="G48" s="67">
        <v>0</v>
      </c>
      <c r="H48" s="68">
        <v>0</v>
      </c>
    </row>
    <row r="49" spans="1:12" x14ac:dyDescent="0.3">
      <c r="A49" s="65">
        <v>19.2</v>
      </c>
      <c r="B49" s="93" t="s">
        <v>130</v>
      </c>
      <c r="C49" s="67">
        <v>0</v>
      </c>
      <c r="D49" s="67">
        <v>0</v>
      </c>
      <c r="E49" s="68">
        <f t="shared" si="1"/>
        <v>0</v>
      </c>
      <c r="F49" s="67">
        <v>1157682.7731685017</v>
      </c>
      <c r="G49" s="67">
        <v>0</v>
      </c>
      <c r="H49" s="68">
        <v>1157682.7731685017</v>
      </c>
      <c r="J49" s="56"/>
    </row>
    <row r="50" spans="1:12" x14ac:dyDescent="0.3">
      <c r="A50" s="65">
        <v>20</v>
      </c>
      <c r="B50" s="82" t="s">
        <v>131</v>
      </c>
      <c r="C50" s="67">
        <v>0</v>
      </c>
      <c r="D50" s="67">
        <v>4462299.609817774</v>
      </c>
      <c r="E50" s="68">
        <f t="shared" si="1"/>
        <v>4462299.609817774</v>
      </c>
      <c r="F50" s="67">
        <v>3432022.03</v>
      </c>
      <c r="G50" s="67">
        <v>0</v>
      </c>
      <c r="H50" s="68">
        <v>3432022.03</v>
      </c>
      <c r="J50" s="56"/>
    </row>
    <row r="51" spans="1:12" x14ac:dyDescent="0.3">
      <c r="A51" s="65">
        <v>21</v>
      </c>
      <c r="B51" s="71" t="s">
        <v>132</v>
      </c>
      <c r="C51" s="67">
        <v>1046468.671057455</v>
      </c>
      <c r="D51" s="67">
        <v>344046.01</v>
      </c>
      <c r="E51" s="68">
        <f t="shared" si="1"/>
        <v>1390514.681057455</v>
      </c>
      <c r="F51" s="67">
        <v>2571203.9900000007</v>
      </c>
      <c r="G51" s="67">
        <v>251628.57999999996</v>
      </c>
      <c r="H51" s="68">
        <v>2822832.5700000008</v>
      </c>
      <c r="J51" s="56"/>
    </row>
    <row r="52" spans="1:12" x14ac:dyDescent="0.3">
      <c r="A52" s="65">
        <v>21.1</v>
      </c>
      <c r="B52" s="69" t="s">
        <v>133</v>
      </c>
      <c r="C52" s="67"/>
      <c r="D52" s="67"/>
      <c r="E52" s="68">
        <f t="shared" si="1"/>
        <v>0</v>
      </c>
      <c r="F52" s="67"/>
      <c r="G52" s="67"/>
      <c r="H52" s="68">
        <v>0</v>
      </c>
    </row>
    <row r="53" spans="1:12" x14ac:dyDescent="0.3">
      <c r="A53" s="65">
        <v>22</v>
      </c>
      <c r="B53" s="82" t="s">
        <v>134</v>
      </c>
      <c r="C53" s="67">
        <f>SUM(C38,C40,C41,C46,C47,C50,C51)</f>
        <v>121296809.37023798</v>
      </c>
      <c r="D53" s="67">
        <f>SUM(D38,D40,D41,D46,D47,D50,D51)</f>
        <v>32752695.329672199</v>
      </c>
      <c r="E53" s="68">
        <f t="shared" si="1"/>
        <v>154049504.69991016</v>
      </c>
      <c r="F53" s="67">
        <v>100062160.02055797</v>
      </c>
      <c r="G53" s="67">
        <v>22610117.516256396</v>
      </c>
      <c r="H53" s="68">
        <v>122672277.53681436</v>
      </c>
      <c r="J53" s="56"/>
      <c r="L53" s="58"/>
    </row>
    <row r="54" spans="1:12" ht="24" customHeight="1" x14ac:dyDescent="0.3">
      <c r="A54" s="65"/>
      <c r="B54" s="83" t="s">
        <v>135</v>
      </c>
      <c r="C54" s="84"/>
      <c r="D54" s="85"/>
      <c r="E54" s="85"/>
      <c r="F54" s="85"/>
      <c r="G54" s="85"/>
      <c r="H54" s="87"/>
    </row>
    <row r="55" spans="1:12" x14ac:dyDescent="0.3">
      <c r="A55" s="65">
        <v>23</v>
      </c>
      <c r="B55" s="82" t="s">
        <v>136</v>
      </c>
      <c r="C55" s="67">
        <v>101746400</v>
      </c>
      <c r="D55" s="67"/>
      <c r="E55" s="68">
        <f>C55+D55</f>
        <v>101746400</v>
      </c>
      <c r="F55" s="67">
        <v>72746400</v>
      </c>
      <c r="G55" s="67"/>
      <c r="H55" s="68">
        <v>72746400</v>
      </c>
      <c r="J55" s="56"/>
      <c r="K55" s="94"/>
    </row>
    <row r="56" spans="1:12" x14ac:dyDescent="0.3">
      <c r="A56" s="65">
        <v>24</v>
      </c>
      <c r="B56" s="82" t="s">
        <v>137</v>
      </c>
      <c r="C56" s="67"/>
      <c r="D56" s="67"/>
      <c r="E56" s="68">
        <f t="shared" ref="E56:E69" si="2">C56+D56</f>
        <v>0</v>
      </c>
      <c r="F56" s="67"/>
      <c r="G56" s="67"/>
      <c r="H56" s="68">
        <v>0</v>
      </c>
    </row>
    <row r="57" spans="1:12" x14ac:dyDescent="0.3">
      <c r="A57" s="65">
        <v>25</v>
      </c>
      <c r="B57" s="82" t="s">
        <v>138</v>
      </c>
      <c r="C57" s="67"/>
      <c r="D57" s="67"/>
      <c r="E57" s="68">
        <f t="shared" si="2"/>
        <v>0</v>
      </c>
      <c r="F57" s="67"/>
      <c r="G57" s="67"/>
      <c r="H57" s="68">
        <v>0</v>
      </c>
    </row>
    <row r="58" spans="1:12" x14ac:dyDescent="0.3">
      <c r="A58" s="65">
        <v>26</v>
      </c>
      <c r="B58" s="74" t="s">
        <v>139</v>
      </c>
      <c r="C58" s="67"/>
      <c r="D58" s="67"/>
      <c r="E58" s="68">
        <f t="shared" si="2"/>
        <v>0</v>
      </c>
      <c r="F58" s="67"/>
      <c r="G58" s="67"/>
      <c r="H58" s="68">
        <v>0</v>
      </c>
    </row>
    <row r="59" spans="1:12" x14ac:dyDescent="0.3">
      <c r="A59" s="65">
        <v>27</v>
      </c>
      <c r="B59" s="74" t="s">
        <v>140</v>
      </c>
      <c r="C59" s="67">
        <f>SUM(C60:C61)</f>
        <v>0</v>
      </c>
      <c r="D59" s="67">
        <f>SUM(D60:D61)</f>
        <v>0</v>
      </c>
      <c r="E59" s="68">
        <f t="shared" si="2"/>
        <v>0</v>
      </c>
      <c r="F59" s="67">
        <v>0</v>
      </c>
      <c r="G59" s="67">
        <v>0</v>
      </c>
      <c r="H59" s="68">
        <v>0</v>
      </c>
    </row>
    <row r="60" spans="1:12" x14ac:dyDescent="0.3">
      <c r="A60" s="65">
        <v>27.1</v>
      </c>
      <c r="B60" s="92" t="s">
        <v>141</v>
      </c>
      <c r="C60" s="67"/>
      <c r="D60" s="67"/>
      <c r="E60" s="68">
        <f t="shared" si="2"/>
        <v>0</v>
      </c>
      <c r="F60" s="67"/>
      <c r="G60" s="67"/>
      <c r="H60" s="68">
        <v>0</v>
      </c>
    </row>
    <row r="61" spans="1:12" x14ac:dyDescent="0.3">
      <c r="A61" s="65">
        <v>27.2</v>
      </c>
      <c r="B61" s="91" t="s">
        <v>142</v>
      </c>
      <c r="C61" s="67"/>
      <c r="D61" s="67"/>
      <c r="E61" s="68">
        <f t="shared" si="2"/>
        <v>0</v>
      </c>
      <c r="F61" s="67"/>
      <c r="G61" s="67"/>
      <c r="H61" s="68">
        <v>0</v>
      </c>
    </row>
    <row r="62" spans="1:12" x14ac:dyDescent="0.3">
      <c r="A62" s="65">
        <v>28</v>
      </c>
      <c r="B62" s="71" t="s">
        <v>143</v>
      </c>
      <c r="C62" s="67"/>
      <c r="D62" s="67"/>
      <c r="E62" s="68">
        <f t="shared" si="2"/>
        <v>0</v>
      </c>
      <c r="F62" s="67"/>
      <c r="G62" s="67"/>
      <c r="H62" s="68">
        <v>0</v>
      </c>
    </row>
    <row r="63" spans="1:12" x14ac:dyDescent="0.3">
      <c r="A63" s="65">
        <v>29</v>
      </c>
      <c r="B63" s="74" t="s">
        <v>144</v>
      </c>
      <c r="C63" s="67">
        <f>SUM(C64:C66)</f>
        <v>3486012.7618743461</v>
      </c>
      <c r="D63" s="67">
        <f>SUM(D64:D66)</f>
        <v>0</v>
      </c>
      <c r="E63" s="68">
        <f t="shared" si="2"/>
        <v>3486012.7618743461</v>
      </c>
      <c r="F63" s="67">
        <v>3615196.900470661</v>
      </c>
      <c r="G63" s="67">
        <v>0</v>
      </c>
      <c r="H63" s="68">
        <v>3615196.900470661</v>
      </c>
    </row>
    <row r="64" spans="1:12" x14ac:dyDescent="0.3">
      <c r="A64" s="65">
        <v>29.1</v>
      </c>
      <c r="B64" s="77" t="s">
        <v>145</v>
      </c>
      <c r="C64" s="67">
        <v>3486012.7618743461</v>
      </c>
      <c r="D64" s="67"/>
      <c r="E64" s="68">
        <f t="shared" si="2"/>
        <v>3486012.7618743461</v>
      </c>
      <c r="F64" s="67">
        <v>3615196.900470661</v>
      </c>
      <c r="G64" s="67"/>
      <c r="H64" s="68">
        <v>3615196.900470661</v>
      </c>
      <c r="J64" s="56"/>
    </row>
    <row r="65" spans="1:10" ht="24.9" customHeight="1" x14ac:dyDescent="0.3">
      <c r="A65" s="65">
        <v>29.2</v>
      </c>
      <c r="B65" s="92" t="s">
        <v>146</v>
      </c>
      <c r="C65" s="67"/>
      <c r="D65" s="67"/>
      <c r="E65" s="68">
        <f t="shared" si="2"/>
        <v>0</v>
      </c>
      <c r="F65" s="67"/>
      <c r="G65" s="67"/>
      <c r="H65" s="68">
        <v>0</v>
      </c>
    </row>
    <row r="66" spans="1:10" ht="22.5" customHeight="1" x14ac:dyDescent="0.3">
      <c r="A66" s="65">
        <v>29.3</v>
      </c>
      <c r="B66" s="80" t="s">
        <v>147</v>
      </c>
      <c r="C66" s="67"/>
      <c r="D66" s="67"/>
      <c r="E66" s="68">
        <f t="shared" si="2"/>
        <v>0</v>
      </c>
      <c r="F66" s="67"/>
      <c r="G66" s="67"/>
      <c r="H66" s="68">
        <v>0</v>
      </c>
    </row>
    <row r="67" spans="1:10" x14ac:dyDescent="0.3">
      <c r="A67" s="65">
        <v>30</v>
      </c>
      <c r="B67" s="74" t="s">
        <v>148</v>
      </c>
      <c r="C67" s="67">
        <v>-33434607.609855156</v>
      </c>
      <c r="D67" s="67"/>
      <c r="E67" s="68">
        <f t="shared" si="2"/>
        <v>-33434607.609855156</v>
      </c>
      <c r="F67" s="67">
        <v>-18550775.219210185</v>
      </c>
      <c r="G67" s="67"/>
      <c r="H67" s="68">
        <v>-18550775.219210185</v>
      </c>
      <c r="J67" s="56"/>
    </row>
    <row r="68" spans="1:10" x14ac:dyDescent="0.3">
      <c r="A68" s="65">
        <v>31</v>
      </c>
      <c r="B68" s="95" t="s">
        <v>149</v>
      </c>
      <c r="C68" s="67">
        <f>SUM(C55,C56,C57,C58,C59,C62,C63,C67)</f>
        <v>71797805.152019188</v>
      </c>
      <c r="D68" s="67">
        <f>SUM(D55,D56,D57,D58,D59,D62,D63,D67)</f>
        <v>0</v>
      </c>
      <c r="E68" s="68">
        <f t="shared" si="2"/>
        <v>71797805.152019188</v>
      </c>
      <c r="F68" s="67">
        <v>57810821.681260474</v>
      </c>
      <c r="G68" s="67">
        <v>0</v>
      </c>
      <c r="H68" s="68">
        <v>57810821.681260474</v>
      </c>
      <c r="J68" s="56"/>
    </row>
    <row r="69" spans="1:10" x14ac:dyDescent="0.3">
      <c r="A69" s="65">
        <v>32</v>
      </c>
      <c r="B69" s="96" t="s">
        <v>150</v>
      </c>
      <c r="C69" s="67">
        <f>SUM(C53,C68)</f>
        <v>193094614.52225715</v>
      </c>
      <c r="D69" s="67">
        <f>SUM(D53,D68)</f>
        <v>32752695.329672199</v>
      </c>
      <c r="E69" s="68">
        <f t="shared" si="2"/>
        <v>225847309.85192934</v>
      </c>
      <c r="F69" s="67">
        <v>157872981.70181844</v>
      </c>
      <c r="G69" s="67">
        <v>22610117.516256396</v>
      </c>
      <c r="H69" s="68">
        <v>180483099.21807483</v>
      </c>
      <c r="J69" s="56"/>
    </row>
  </sheetData>
  <mergeCells count="4">
    <mergeCell ref="A4:A6"/>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44E-2362-4BE0-9CCC-9988E3A7C46D}">
  <dimension ref="A1:M50"/>
  <sheetViews>
    <sheetView zoomScaleNormal="100" workbookViewId="0">
      <selection activeCell="C9" sqref="C9"/>
    </sheetView>
  </sheetViews>
  <sheetFormatPr defaultRowHeight="14.4" x14ac:dyDescent="0.3"/>
  <cols>
    <col min="2" max="2" width="66.5546875" customWidth="1"/>
    <col min="3" max="6" width="17.88671875" customWidth="1"/>
    <col min="7" max="7" width="19.109375" customWidth="1"/>
    <col min="8" max="8" width="17.88671875" customWidth="1"/>
    <col min="9" max="9" width="15.88671875" style="64" customWidth="1"/>
    <col min="10" max="10" width="13" customWidth="1"/>
    <col min="11" max="11" width="17.6640625" customWidth="1"/>
    <col min="12" max="12" width="18.5546875" customWidth="1"/>
    <col min="13" max="13" width="14.44140625" customWidth="1"/>
  </cols>
  <sheetData>
    <row r="1" spans="1:13" x14ac:dyDescent="0.3">
      <c r="A1" s="21" t="s">
        <v>41</v>
      </c>
      <c r="B1" s="22" t="str">
        <f>Info!C2</f>
        <v>სს სილქ ბანკი</v>
      </c>
      <c r="C1" s="23"/>
      <c r="D1" s="20"/>
      <c r="E1" s="20"/>
      <c r="F1" s="20"/>
      <c r="G1" s="20"/>
    </row>
    <row r="2" spans="1:13" x14ac:dyDescent="0.3">
      <c r="A2" s="21" t="s">
        <v>42</v>
      </c>
      <c r="B2" s="24">
        <f>'1. key ratios'!B2</f>
        <v>45747</v>
      </c>
      <c r="C2" s="23"/>
      <c r="D2" s="20"/>
      <c r="E2" s="20"/>
      <c r="F2" s="20"/>
      <c r="G2" s="20"/>
    </row>
    <row r="3" spans="1:13" ht="15" thickBot="1" x14ac:dyDescent="0.35">
      <c r="A3" s="21"/>
      <c r="B3" s="23"/>
      <c r="C3" s="23"/>
      <c r="D3" s="20"/>
      <c r="E3" s="20"/>
      <c r="F3" s="20"/>
      <c r="G3" s="20"/>
    </row>
    <row r="4" spans="1:13" ht="40.5" customHeight="1" x14ac:dyDescent="0.3">
      <c r="A4" s="830" t="s">
        <v>45</v>
      </c>
      <c r="B4" s="832" t="s">
        <v>14</v>
      </c>
      <c r="C4" s="834" t="s">
        <v>84</v>
      </c>
      <c r="D4" s="834"/>
      <c r="E4" s="834"/>
      <c r="F4" s="834" t="s">
        <v>85</v>
      </c>
      <c r="G4" s="834"/>
      <c r="H4" s="835"/>
    </row>
    <row r="5" spans="1:13" ht="15.6" customHeight="1" x14ac:dyDescent="0.3">
      <c r="A5" s="831"/>
      <c r="B5" s="833"/>
      <c r="C5" s="99" t="s">
        <v>86</v>
      </c>
      <c r="D5" s="99" t="s">
        <v>87</v>
      </c>
      <c r="E5" s="99" t="s">
        <v>88</v>
      </c>
      <c r="F5" s="99" t="s">
        <v>86</v>
      </c>
      <c r="G5" s="99" t="s">
        <v>87</v>
      </c>
      <c r="H5" s="99" t="s">
        <v>88</v>
      </c>
      <c r="K5" s="64" t="s">
        <v>90</v>
      </c>
    </row>
    <row r="6" spans="1:13" x14ac:dyDescent="0.3">
      <c r="A6" s="57">
        <v>1</v>
      </c>
      <c r="B6" s="100" t="s">
        <v>151</v>
      </c>
      <c r="C6" s="101">
        <f>SUM(C7:C12)</f>
        <v>4649035.344614963</v>
      </c>
      <c r="D6" s="101">
        <f>SUM(D7:D12)</f>
        <v>1107574.0491298807</v>
      </c>
      <c r="E6" s="102">
        <f>C6+D6</f>
        <v>5756609.393744844</v>
      </c>
      <c r="F6" s="101">
        <v>3403964.9205173585</v>
      </c>
      <c r="G6" s="101">
        <v>572757.13523194368</v>
      </c>
      <c r="H6" s="102">
        <v>3976722.0557493023</v>
      </c>
      <c r="I6" s="114"/>
      <c r="K6" s="103">
        <v>0</v>
      </c>
      <c r="L6" s="104">
        <v>0</v>
      </c>
      <c r="M6" s="104">
        <v>0</v>
      </c>
    </row>
    <row r="7" spans="1:13" x14ac:dyDescent="0.3">
      <c r="A7" s="57">
        <v>1.1000000000000001</v>
      </c>
      <c r="B7" s="105" t="s">
        <v>95</v>
      </c>
      <c r="C7" s="101"/>
      <c r="D7" s="101"/>
      <c r="E7" s="102">
        <f t="shared" ref="E7:E45" si="0">C7+D7</f>
        <v>0</v>
      </c>
      <c r="F7" s="101"/>
      <c r="G7" s="101"/>
      <c r="H7" s="102">
        <v>0</v>
      </c>
    </row>
    <row r="8" spans="1:13" ht="20.399999999999999" x14ac:dyDescent="0.3">
      <c r="A8" s="57">
        <v>1.2</v>
      </c>
      <c r="B8" s="105" t="s">
        <v>152</v>
      </c>
      <c r="C8" s="101"/>
      <c r="D8" s="101"/>
      <c r="E8" s="102">
        <f t="shared" si="0"/>
        <v>0</v>
      </c>
      <c r="F8" s="101"/>
      <c r="G8" s="101"/>
      <c r="H8" s="102">
        <v>0</v>
      </c>
    </row>
    <row r="9" spans="1:13" ht="21.6" customHeight="1" x14ac:dyDescent="0.3">
      <c r="A9" s="57">
        <v>1.3</v>
      </c>
      <c r="B9" s="92" t="s">
        <v>153</v>
      </c>
      <c r="C9" s="101"/>
      <c r="D9" s="101"/>
      <c r="E9" s="102">
        <f t="shared" si="0"/>
        <v>0</v>
      </c>
      <c r="F9" s="101"/>
      <c r="G9" s="101"/>
      <c r="H9" s="102">
        <v>0</v>
      </c>
    </row>
    <row r="10" spans="1:13" ht="20.399999999999999" x14ac:dyDescent="0.3">
      <c r="A10" s="57">
        <v>1.4</v>
      </c>
      <c r="B10" s="92" t="s">
        <v>99</v>
      </c>
      <c r="C10" s="101"/>
      <c r="D10" s="101"/>
      <c r="E10" s="102">
        <f t="shared" si="0"/>
        <v>0</v>
      </c>
      <c r="F10" s="101"/>
      <c r="G10" s="101"/>
      <c r="H10" s="102">
        <v>0</v>
      </c>
    </row>
    <row r="11" spans="1:13" x14ac:dyDescent="0.3">
      <c r="A11" s="57">
        <v>1.5</v>
      </c>
      <c r="B11" s="92" t="s">
        <v>103</v>
      </c>
      <c r="C11" s="101">
        <v>4649035.344614963</v>
      </c>
      <c r="D11" s="101">
        <v>1107574.0491298807</v>
      </c>
      <c r="E11" s="102">
        <f t="shared" si="0"/>
        <v>5756609.393744844</v>
      </c>
      <c r="F11" s="101">
        <v>3403964.9205173585</v>
      </c>
      <c r="G11" s="101">
        <v>572757.13523194368</v>
      </c>
      <c r="H11" s="102">
        <v>3976722.0557493023</v>
      </c>
    </row>
    <row r="12" spans="1:13" x14ac:dyDescent="0.3">
      <c r="A12" s="57">
        <v>1.6</v>
      </c>
      <c r="B12" s="93" t="s">
        <v>115</v>
      </c>
      <c r="C12" s="101"/>
      <c r="D12" s="101"/>
      <c r="E12" s="102">
        <f t="shared" si="0"/>
        <v>0</v>
      </c>
      <c r="F12" s="101"/>
      <c r="G12" s="101"/>
      <c r="H12" s="102">
        <v>0</v>
      </c>
    </row>
    <row r="13" spans="1:13" x14ac:dyDescent="0.3">
      <c r="A13" s="57">
        <v>2</v>
      </c>
      <c r="B13" s="106" t="s">
        <v>154</v>
      </c>
      <c r="C13" s="101">
        <f>SUM(C14:C17)</f>
        <v>-3034353.8285598364</v>
      </c>
      <c r="D13" s="101">
        <f>SUM(D14:D17)</f>
        <v>-381786.53570571891</v>
      </c>
      <c r="E13" s="102">
        <f t="shared" si="0"/>
        <v>-3416140.3642655555</v>
      </c>
      <c r="F13" s="101">
        <v>-2323946.1116617038</v>
      </c>
      <c r="G13" s="101">
        <v>-205023.46999999997</v>
      </c>
      <c r="H13" s="102">
        <v>-2528969.581661704</v>
      </c>
      <c r="I13" s="114"/>
      <c r="K13" s="103">
        <v>0</v>
      </c>
      <c r="L13" s="104">
        <v>0</v>
      </c>
      <c r="M13" s="104">
        <v>0</v>
      </c>
    </row>
    <row r="14" spans="1:13" x14ac:dyDescent="0.3">
      <c r="A14" s="57">
        <v>2.1</v>
      </c>
      <c r="B14" s="92" t="s">
        <v>155</v>
      </c>
      <c r="C14" s="101"/>
      <c r="D14" s="101"/>
      <c r="E14" s="102">
        <f t="shared" si="0"/>
        <v>0</v>
      </c>
      <c r="F14" s="101"/>
      <c r="G14" s="101"/>
      <c r="H14" s="102">
        <v>0</v>
      </c>
    </row>
    <row r="15" spans="1:13" ht="24.6" customHeight="1" x14ac:dyDescent="0.3">
      <c r="A15" s="57">
        <v>2.2000000000000002</v>
      </c>
      <c r="B15" s="92" t="s">
        <v>156</v>
      </c>
      <c r="C15" s="101"/>
      <c r="D15" s="101"/>
      <c r="E15" s="102">
        <f t="shared" si="0"/>
        <v>0</v>
      </c>
      <c r="F15" s="101"/>
      <c r="G15" s="101"/>
      <c r="H15" s="102">
        <v>0</v>
      </c>
    </row>
    <row r="16" spans="1:13" ht="20.399999999999999" customHeight="1" x14ac:dyDescent="0.3">
      <c r="A16" s="57">
        <v>2.2999999999999998</v>
      </c>
      <c r="B16" s="92" t="s">
        <v>157</v>
      </c>
      <c r="C16" s="101">
        <v>-3034353.8285598364</v>
      </c>
      <c r="D16" s="101">
        <v>-381786.53570571891</v>
      </c>
      <c r="E16" s="102">
        <f t="shared" si="0"/>
        <v>-3416140.3642655555</v>
      </c>
      <c r="F16" s="101">
        <v>-2323946.1116617038</v>
      </c>
      <c r="G16" s="101">
        <v>-205023.46999999997</v>
      </c>
      <c r="H16" s="102">
        <v>-2528969.581661704</v>
      </c>
    </row>
    <row r="17" spans="1:13" x14ac:dyDescent="0.3">
      <c r="A17" s="57">
        <v>2.4</v>
      </c>
      <c r="B17" s="92" t="s">
        <v>158</v>
      </c>
      <c r="C17" s="101"/>
      <c r="D17" s="101"/>
      <c r="E17" s="102">
        <f t="shared" si="0"/>
        <v>0</v>
      </c>
      <c r="F17" s="101"/>
      <c r="G17" s="101"/>
      <c r="H17" s="102">
        <v>0</v>
      </c>
    </row>
    <row r="18" spans="1:13" x14ac:dyDescent="0.3">
      <c r="A18" s="57">
        <v>3</v>
      </c>
      <c r="B18" s="106" t="s">
        <v>159</v>
      </c>
      <c r="C18" s="101"/>
      <c r="D18" s="101"/>
      <c r="E18" s="102">
        <f t="shared" si="0"/>
        <v>0</v>
      </c>
      <c r="F18" s="101"/>
      <c r="G18" s="101"/>
      <c r="H18" s="102">
        <v>0</v>
      </c>
    </row>
    <row r="19" spans="1:13" x14ac:dyDescent="0.3">
      <c r="A19" s="57">
        <v>4</v>
      </c>
      <c r="B19" s="106" t="s">
        <v>160</v>
      </c>
      <c r="C19" s="101">
        <v>106139.83000000092</v>
      </c>
      <c r="D19" s="101">
        <v>86773.889999999985</v>
      </c>
      <c r="E19" s="102">
        <f t="shared" si="0"/>
        <v>192913.7200000009</v>
      </c>
      <c r="F19" s="101">
        <v>35874.980000000003</v>
      </c>
      <c r="G19" s="101">
        <v>44381.56</v>
      </c>
      <c r="H19" s="102">
        <v>80256.540000000008</v>
      </c>
      <c r="I19" s="114"/>
      <c r="K19" s="103">
        <v>0</v>
      </c>
      <c r="L19" s="107">
        <v>0</v>
      </c>
      <c r="M19" s="107">
        <v>0</v>
      </c>
    </row>
    <row r="20" spans="1:13" x14ac:dyDescent="0.3">
      <c r="A20" s="57">
        <v>5</v>
      </c>
      <c r="B20" s="106" t="s">
        <v>161</v>
      </c>
      <c r="C20" s="101">
        <v>-183335.82</v>
      </c>
      <c r="D20" s="101">
        <v>-51342.12000000001</v>
      </c>
      <c r="E20" s="102">
        <f t="shared" si="0"/>
        <v>-234677.94</v>
      </c>
      <c r="F20" s="101">
        <v>-72743.310000000012</v>
      </c>
      <c r="G20" s="101">
        <v>-27664.769999999997</v>
      </c>
      <c r="H20" s="102">
        <v>-100408.08000000002</v>
      </c>
      <c r="I20" s="114"/>
      <c r="K20" s="103">
        <v>0</v>
      </c>
      <c r="L20" s="104">
        <v>0</v>
      </c>
      <c r="M20" s="104">
        <v>0</v>
      </c>
    </row>
    <row r="21" spans="1:13" ht="38.4" customHeight="1" x14ac:dyDescent="0.3">
      <c r="A21" s="57">
        <v>6</v>
      </c>
      <c r="B21" s="106" t="s">
        <v>162</v>
      </c>
      <c r="C21" s="101"/>
      <c r="D21" s="101"/>
      <c r="E21" s="102">
        <f t="shared" si="0"/>
        <v>0</v>
      </c>
      <c r="F21" s="101"/>
      <c r="G21" s="101"/>
      <c r="H21" s="102">
        <v>0</v>
      </c>
    </row>
    <row r="22" spans="1:13" ht="27.6" customHeight="1" x14ac:dyDescent="0.3">
      <c r="A22" s="57">
        <v>7</v>
      </c>
      <c r="B22" s="108" t="s">
        <v>163</v>
      </c>
      <c r="C22" s="670">
        <v>284254.76124766679</v>
      </c>
      <c r="D22" s="670"/>
      <c r="E22" s="102">
        <f t="shared" si="0"/>
        <v>284254.76124766679</v>
      </c>
      <c r="F22" s="101"/>
      <c r="G22" s="101"/>
      <c r="H22" s="102">
        <v>0</v>
      </c>
    </row>
    <row r="23" spans="1:13" ht="36.9" customHeight="1" x14ac:dyDescent="0.3">
      <c r="A23" s="57">
        <v>8</v>
      </c>
      <c r="B23" s="109" t="s">
        <v>164</v>
      </c>
      <c r="C23" s="101"/>
      <c r="D23" s="101"/>
      <c r="E23" s="102">
        <f t="shared" si="0"/>
        <v>0</v>
      </c>
      <c r="F23" s="101"/>
      <c r="G23" s="101"/>
      <c r="H23" s="102">
        <v>0</v>
      </c>
    </row>
    <row r="24" spans="1:13" ht="34.5" customHeight="1" x14ac:dyDescent="0.3">
      <c r="A24" s="57">
        <v>9</v>
      </c>
      <c r="B24" s="109" t="s">
        <v>165</v>
      </c>
      <c r="C24" s="101"/>
      <c r="D24" s="101"/>
      <c r="E24" s="102">
        <f t="shared" si="0"/>
        <v>0</v>
      </c>
      <c r="F24" s="101"/>
      <c r="G24" s="101"/>
      <c r="H24" s="102">
        <v>0</v>
      </c>
    </row>
    <row r="25" spans="1:13" x14ac:dyDescent="0.3">
      <c r="A25" s="57">
        <v>10</v>
      </c>
      <c r="B25" s="106" t="s">
        <v>166</v>
      </c>
      <c r="C25" s="101">
        <v>-407721.78436366655</v>
      </c>
      <c r="D25" s="101">
        <v>0</v>
      </c>
      <c r="E25" s="102">
        <f t="shared" si="0"/>
        <v>-407721.78436366655</v>
      </c>
      <c r="F25" s="101">
        <v>438526.29596757796</v>
      </c>
      <c r="G25" s="101">
        <v>0</v>
      </c>
      <c r="H25" s="102">
        <v>438526.29596757796</v>
      </c>
      <c r="I25" s="114"/>
      <c r="K25" s="103">
        <v>1.862645149230957E-9</v>
      </c>
      <c r="L25" s="103">
        <v>0</v>
      </c>
      <c r="M25" s="103">
        <v>1.862645149230957E-9</v>
      </c>
    </row>
    <row r="26" spans="1:13" ht="27" customHeight="1" x14ac:dyDescent="0.3">
      <c r="A26" s="57">
        <v>11</v>
      </c>
      <c r="B26" s="110" t="s">
        <v>167</v>
      </c>
      <c r="C26" s="101">
        <v>70.069999999999993</v>
      </c>
      <c r="D26" s="101">
        <v>0</v>
      </c>
      <c r="E26" s="102">
        <f t="shared" si="0"/>
        <v>70.069999999999993</v>
      </c>
      <c r="F26" s="101">
        <v>-40005.449279555498</v>
      </c>
      <c r="G26" s="101">
        <v>0</v>
      </c>
      <c r="H26" s="102">
        <v>-40005.449279555498</v>
      </c>
      <c r="I26" s="114"/>
      <c r="K26" s="103">
        <v>0</v>
      </c>
      <c r="L26" s="104">
        <v>0</v>
      </c>
      <c r="M26" s="104">
        <v>0</v>
      </c>
    </row>
    <row r="27" spans="1:13" x14ac:dyDescent="0.3">
      <c r="A27" s="57">
        <v>12</v>
      </c>
      <c r="B27" s="106" t="s">
        <v>168</v>
      </c>
      <c r="C27" s="101">
        <v>28201.506716272164</v>
      </c>
      <c r="D27" s="101">
        <v>10.27</v>
      </c>
      <c r="E27" s="102">
        <f t="shared" si="0"/>
        <v>28211.776716272165</v>
      </c>
      <c r="F27" s="111">
        <v>47113.943253002763</v>
      </c>
      <c r="G27" s="112">
        <v>0</v>
      </c>
      <c r="H27" s="102">
        <v>47113.943253002763</v>
      </c>
    </row>
    <row r="28" spans="1:13" x14ac:dyDescent="0.3">
      <c r="A28" s="57">
        <v>13</v>
      </c>
      <c r="B28" s="113" t="s">
        <v>169</v>
      </c>
      <c r="C28" s="101">
        <v>-8732.9452857500019</v>
      </c>
      <c r="D28" s="101">
        <v>0</v>
      </c>
      <c r="E28" s="102">
        <f t="shared" si="0"/>
        <v>-8732.9452857500019</v>
      </c>
      <c r="F28" s="112">
        <v>-9259.8536530000001</v>
      </c>
      <c r="G28" s="112">
        <v>0</v>
      </c>
      <c r="H28" s="102">
        <v>-9259.8536530000001</v>
      </c>
      <c r="I28" s="114"/>
      <c r="K28" s="114"/>
      <c r="L28" s="115"/>
      <c r="M28" s="114"/>
    </row>
    <row r="29" spans="1:13" x14ac:dyDescent="0.3">
      <c r="A29" s="57">
        <v>14</v>
      </c>
      <c r="B29" s="116" t="s">
        <v>170</v>
      </c>
      <c r="C29" s="101">
        <f>SUM(C30:C31)</f>
        <v>-5995325.2059166739</v>
      </c>
      <c r="D29" s="101">
        <f>SUM(D30:D31)</f>
        <v>-570965.03000000026</v>
      </c>
      <c r="E29" s="102">
        <f t="shared" si="0"/>
        <v>-6566290.2359166741</v>
      </c>
      <c r="F29" s="112">
        <v>-3499722.3700000015</v>
      </c>
      <c r="G29" s="112">
        <v>-355689.62999999989</v>
      </c>
      <c r="H29" s="117">
        <v>-3855412.0000000014</v>
      </c>
    </row>
    <row r="30" spans="1:13" x14ac:dyDescent="0.3">
      <c r="A30" s="57">
        <v>14.1</v>
      </c>
      <c r="B30" s="80" t="s">
        <v>171</v>
      </c>
      <c r="C30" s="101">
        <v>-3353921.8610574557</v>
      </c>
      <c r="D30" s="101">
        <v>0</v>
      </c>
      <c r="E30" s="102">
        <f t="shared" si="0"/>
        <v>-3353921.8610574557</v>
      </c>
      <c r="F30" s="112">
        <v>-2342842.6900000013</v>
      </c>
      <c r="G30" s="112">
        <v>0</v>
      </c>
      <c r="H30" s="117">
        <v>-2342842.6900000013</v>
      </c>
      <c r="I30" s="115"/>
      <c r="K30" s="103">
        <v>0</v>
      </c>
      <c r="L30" s="104">
        <v>0</v>
      </c>
      <c r="M30" s="104">
        <v>0</v>
      </c>
    </row>
    <row r="31" spans="1:13" x14ac:dyDescent="0.3">
      <c r="A31" s="57">
        <v>14.2</v>
      </c>
      <c r="B31" s="80" t="s">
        <v>172</v>
      </c>
      <c r="C31" s="101">
        <v>-2641403.3448592182</v>
      </c>
      <c r="D31" s="101">
        <v>-570965.03000000026</v>
      </c>
      <c r="E31" s="102">
        <f t="shared" si="0"/>
        <v>-3212368.3748592185</v>
      </c>
      <c r="F31" s="112">
        <v>-1156879.6800000002</v>
      </c>
      <c r="G31" s="112">
        <v>-355689.62999999989</v>
      </c>
      <c r="H31" s="117">
        <v>-1512569.31</v>
      </c>
      <c r="I31"/>
      <c r="J31" s="90"/>
    </row>
    <row r="32" spans="1:13" x14ac:dyDescent="0.3">
      <c r="A32" s="57">
        <v>15</v>
      </c>
      <c r="B32" s="118" t="s">
        <v>173</v>
      </c>
      <c r="C32" s="101">
        <v>-394480.5491778978</v>
      </c>
      <c r="D32" s="101">
        <v>0</v>
      </c>
      <c r="E32" s="102">
        <f t="shared" si="0"/>
        <v>-394480.5491778978</v>
      </c>
      <c r="F32" s="112">
        <v>-314533.34999999998</v>
      </c>
      <c r="G32" s="112">
        <v>0</v>
      </c>
      <c r="H32" s="117">
        <v>-314533.34999999998</v>
      </c>
      <c r="I32" s="115"/>
      <c r="K32" s="103">
        <v>0</v>
      </c>
      <c r="L32" s="104">
        <v>0</v>
      </c>
      <c r="M32" s="104">
        <v>0</v>
      </c>
    </row>
    <row r="33" spans="1:13" ht="22.5" customHeight="1" x14ac:dyDescent="0.3">
      <c r="A33" s="57">
        <v>16</v>
      </c>
      <c r="B33" s="74" t="s">
        <v>174</v>
      </c>
      <c r="C33" s="101"/>
      <c r="D33" s="101"/>
      <c r="E33" s="102">
        <f t="shared" si="0"/>
        <v>0</v>
      </c>
      <c r="F33" s="101"/>
      <c r="G33" s="101"/>
      <c r="H33" s="102">
        <v>0</v>
      </c>
    </row>
    <row r="34" spans="1:13" x14ac:dyDescent="0.3">
      <c r="A34" s="57">
        <v>17</v>
      </c>
      <c r="B34" s="106" t="s">
        <v>175</v>
      </c>
      <c r="C34" s="101">
        <f>SUM(C35:C36)</f>
        <v>27732.677905945333</v>
      </c>
      <c r="D34" s="101">
        <f>SUM(D35:D36)</f>
        <v>13438.38138274125</v>
      </c>
      <c r="E34" s="102">
        <f t="shared" si="0"/>
        <v>41171.059288686585</v>
      </c>
      <c r="F34" s="101">
        <v>-2200.7860382565377</v>
      </c>
      <c r="G34" s="101">
        <v>-6543.4108167206159</v>
      </c>
      <c r="H34" s="102">
        <v>-8744.1968549771536</v>
      </c>
    </row>
    <row r="35" spans="1:13" x14ac:dyDescent="0.3">
      <c r="A35" s="57">
        <v>17.100000000000001</v>
      </c>
      <c r="B35" s="119" t="s">
        <v>176</v>
      </c>
      <c r="C35" s="101">
        <v>27732.677905945333</v>
      </c>
      <c r="D35" s="101">
        <v>13438.38138274125</v>
      </c>
      <c r="E35" s="102">
        <f t="shared" si="0"/>
        <v>41171.059288686585</v>
      </c>
      <c r="F35" s="101">
        <v>-2200.7860382565377</v>
      </c>
      <c r="G35" s="101">
        <v>-6543.4108167206159</v>
      </c>
      <c r="H35" s="102">
        <v>-8744.1968549771536</v>
      </c>
      <c r="I35" s="115"/>
      <c r="K35" s="103">
        <v>0</v>
      </c>
      <c r="L35" s="104">
        <v>0</v>
      </c>
      <c r="M35" s="104">
        <v>0</v>
      </c>
    </row>
    <row r="36" spans="1:13" x14ac:dyDescent="0.3">
      <c r="A36" s="57">
        <v>17.2</v>
      </c>
      <c r="B36" s="80" t="s">
        <v>177</v>
      </c>
      <c r="C36" s="101"/>
      <c r="D36" s="101"/>
      <c r="E36" s="102">
        <f t="shared" si="0"/>
        <v>0</v>
      </c>
      <c r="F36" s="101"/>
      <c r="G36" s="101"/>
      <c r="H36" s="102">
        <v>0</v>
      </c>
    </row>
    <row r="37" spans="1:13" ht="41.4" customHeight="1" x14ac:dyDescent="0.3">
      <c r="A37" s="57">
        <v>18</v>
      </c>
      <c r="B37" s="120" t="s">
        <v>178</v>
      </c>
      <c r="C37" s="101">
        <f>SUM(C38:C39)</f>
        <v>-491183.52821596502</v>
      </c>
      <c r="D37" s="101">
        <f>SUM(D38:D39)</f>
        <v>-58543.666596153103</v>
      </c>
      <c r="E37" s="102">
        <f t="shared" si="0"/>
        <v>-549727.19481211808</v>
      </c>
      <c r="F37" s="121">
        <v>422382.08738110022</v>
      </c>
      <c r="G37" s="121">
        <v>-7202.1339841131849</v>
      </c>
      <c r="H37" s="102">
        <v>415179.95339698705</v>
      </c>
      <c r="I37" s="115"/>
      <c r="K37" s="114"/>
      <c r="L37" s="115"/>
      <c r="M37" s="115"/>
    </row>
    <row r="38" spans="1:13" ht="20.399999999999999" x14ac:dyDescent="0.3">
      <c r="A38" s="57">
        <v>18.100000000000001</v>
      </c>
      <c r="B38" s="92" t="s">
        <v>179</v>
      </c>
      <c r="C38" s="101"/>
      <c r="D38" s="101"/>
      <c r="E38" s="102">
        <f t="shared" si="0"/>
        <v>0</v>
      </c>
      <c r="F38" s="121"/>
      <c r="G38" s="121"/>
      <c r="H38" s="102">
        <v>0</v>
      </c>
    </row>
    <row r="39" spans="1:13" x14ac:dyDescent="0.3">
      <c r="A39" s="57">
        <v>18.2</v>
      </c>
      <c r="B39" s="92" t="s">
        <v>180</v>
      </c>
      <c r="C39" s="101">
        <v>-491183.52821596502</v>
      </c>
      <c r="D39" s="101">
        <v>-58543.666596153103</v>
      </c>
      <c r="E39" s="102">
        <f t="shared" si="0"/>
        <v>-549727.19481211808</v>
      </c>
      <c r="F39" s="122">
        <v>422382.08738110022</v>
      </c>
      <c r="G39" s="121">
        <v>-7202.1339841131849</v>
      </c>
      <c r="H39" s="102">
        <v>415179.95339698705</v>
      </c>
      <c r="I39" s="115"/>
      <c r="K39" s="103">
        <v>0</v>
      </c>
      <c r="L39" s="104">
        <v>0</v>
      </c>
      <c r="M39" s="104">
        <v>0</v>
      </c>
    </row>
    <row r="40" spans="1:13" ht="24.6" customHeight="1" x14ac:dyDescent="0.3">
      <c r="A40" s="57">
        <v>19</v>
      </c>
      <c r="B40" s="120" t="s">
        <v>181</v>
      </c>
      <c r="C40" s="101"/>
      <c r="D40" s="101"/>
      <c r="E40" s="102">
        <f t="shared" si="0"/>
        <v>0</v>
      </c>
      <c r="F40" s="101"/>
      <c r="G40" s="101"/>
      <c r="H40" s="102">
        <v>0</v>
      </c>
    </row>
    <row r="41" spans="1:13" ht="24.9" customHeight="1" x14ac:dyDescent="0.3">
      <c r="A41" s="57">
        <v>20</v>
      </c>
      <c r="B41" s="120" t="s">
        <v>182</v>
      </c>
      <c r="C41" s="101">
        <v>25378.028560001869</v>
      </c>
      <c r="D41" s="101">
        <v>0</v>
      </c>
      <c r="E41" s="102">
        <f t="shared" si="0"/>
        <v>25378.028560001869</v>
      </c>
      <c r="F41" s="101">
        <v>0</v>
      </c>
      <c r="G41" s="101">
        <v>0</v>
      </c>
      <c r="H41" s="102">
        <v>0</v>
      </c>
    </row>
    <row r="42" spans="1:13" ht="33" customHeight="1" x14ac:dyDescent="0.3">
      <c r="A42" s="57">
        <v>21</v>
      </c>
      <c r="B42" s="123" t="s">
        <v>183</v>
      </c>
      <c r="C42" s="101"/>
      <c r="D42" s="101"/>
      <c r="E42" s="102">
        <f t="shared" si="0"/>
        <v>0</v>
      </c>
      <c r="F42" s="101"/>
      <c r="G42" s="101"/>
      <c r="H42" s="102">
        <v>0</v>
      </c>
    </row>
    <row r="43" spans="1:13" x14ac:dyDescent="0.3">
      <c r="A43" s="57">
        <v>22</v>
      </c>
      <c r="B43" s="124" t="s">
        <v>184</v>
      </c>
      <c r="C43" s="101">
        <f>SUM(C6,C13,C18,C19,C20,C21,C22,C23,C24,C25,C26,C27,C28,C29,C32,C33,C34,C37,C40,C41,C42)</f>
        <v>-5394321.4424749408</v>
      </c>
      <c r="D43" s="101">
        <f>SUM(D6,D13,D18,D19,D20,D21,D22,D23,D24,D25,D26,D27,D28,D29,D32,D33,D34,D37,D40,D41,D42)</f>
        <v>145159.23821074973</v>
      </c>
      <c r="E43" s="102">
        <f t="shared" si="0"/>
        <v>-5249162.204264191</v>
      </c>
      <c r="F43" s="101">
        <v>-1914549.0035134782</v>
      </c>
      <c r="G43" s="101">
        <v>15015.280431110004</v>
      </c>
      <c r="H43" s="102">
        <v>-1899533.7230823683</v>
      </c>
      <c r="K43" s="104">
        <v>0</v>
      </c>
      <c r="M43" s="107">
        <v>0</v>
      </c>
    </row>
    <row r="44" spans="1:13" x14ac:dyDescent="0.3">
      <c r="A44" s="57">
        <v>23</v>
      </c>
      <c r="B44" s="124" t="s">
        <v>185</v>
      </c>
      <c r="C44" s="101">
        <v>18973.540050713127</v>
      </c>
      <c r="D44" s="101"/>
      <c r="E44" s="102">
        <f t="shared" si="0"/>
        <v>18973.540050713127</v>
      </c>
      <c r="F44" s="101">
        <v>-581100.91807421297</v>
      </c>
      <c r="G44" s="101"/>
      <c r="H44" s="102">
        <v>-581100.91807421297</v>
      </c>
    </row>
    <row r="45" spans="1:13" x14ac:dyDescent="0.3">
      <c r="A45" s="57">
        <v>24</v>
      </c>
      <c r="B45" s="124" t="s">
        <v>186</v>
      </c>
      <c r="C45" s="101">
        <f>C43-C44</f>
        <v>-5413294.9825256541</v>
      </c>
      <c r="D45" s="101">
        <f>D43-D44</f>
        <v>145159.23821074973</v>
      </c>
      <c r="E45" s="102">
        <f t="shared" si="0"/>
        <v>-5268135.7443149043</v>
      </c>
      <c r="F45" s="101">
        <v>-1333448.0854392652</v>
      </c>
      <c r="G45" s="101">
        <v>15015.280431110004</v>
      </c>
      <c r="H45" s="102">
        <v>-1318432.8050081553</v>
      </c>
      <c r="I45" s="669"/>
      <c r="K45" s="104">
        <v>0</v>
      </c>
      <c r="L45" s="104"/>
      <c r="M45" s="104">
        <v>0</v>
      </c>
    </row>
    <row r="48" spans="1:13" s="64" customFormat="1" x14ac:dyDescent="0.3">
      <c r="A48"/>
      <c r="B48"/>
      <c r="C48"/>
      <c r="D48"/>
      <c r="E48"/>
      <c r="F48"/>
      <c r="G48"/>
      <c r="H48" s="90"/>
      <c r="J48"/>
      <c r="K48"/>
      <c r="L48"/>
      <c r="M48"/>
    </row>
    <row r="50" spans="1:13" s="64" customFormat="1" x14ac:dyDescent="0.3">
      <c r="A50"/>
      <c r="B50"/>
      <c r="C50" s="58"/>
      <c r="D50" s="58"/>
      <c r="E50" s="58"/>
      <c r="F50" s="58"/>
      <c r="G50" s="58"/>
      <c r="H50" s="58"/>
      <c r="J50"/>
      <c r="K50"/>
      <c r="L50"/>
      <c r="M50"/>
    </row>
  </sheetData>
  <mergeCells count="4">
    <mergeCell ref="A4:A5"/>
    <mergeCell ref="B4:B5"/>
    <mergeCell ref="C4:E4"/>
    <mergeCell ref="F4:H4"/>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6899-B45E-4992-8DF8-C545F7039C42}">
  <dimension ref="A1:J51"/>
  <sheetViews>
    <sheetView zoomScaleNormal="100" workbookViewId="0">
      <selection activeCell="D52" sqref="D52"/>
    </sheetView>
  </sheetViews>
  <sheetFormatPr defaultRowHeight="14.4" x14ac:dyDescent="0.3"/>
  <cols>
    <col min="1" max="1" width="8.88671875" style="97"/>
    <col min="2" max="2" width="87.5546875" bestFit="1" customWidth="1"/>
    <col min="3" max="3" width="16.44140625" customWidth="1"/>
    <col min="4" max="4" width="16.33203125" customWidth="1"/>
    <col min="5" max="5" width="16.5546875" customWidth="1"/>
    <col min="6" max="7" width="14.33203125" customWidth="1"/>
    <col min="8" max="8" width="15.6640625" customWidth="1"/>
  </cols>
  <sheetData>
    <row r="1" spans="1:8" x14ac:dyDescent="0.3">
      <c r="A1" s="21" t="s">
        <v>41</v>
      </c>
      <c r="B1" s="22" t="str">
        <f>Info!C2</f>
        <v>სს სილქ ბანკი</v>
      </c>
      <c r="C1" s="23"/>
      <c r="D1" s="20"/>
      <c r="E1" s="20"/>
      <c r="F1" s="20"/>
      <c r="G1" s="20"/>
    </row>
    <row r="2" spans="1:8" x14ac:dyDescent="0.3">
      <c r="A2" s="21" t="s">
        <v>42</v>
      </c>
      <c r="B2" s="24">
        <f>'1. key ratios'!B2</f>
        <v>45747</v>
      </c>
      <c r="C2" s="23"/>
      <c r="D2" s="20"/>
      <c r="E2" s="20"/>
      <c r="F2" s="20"/>
      <c r="G2" s="20"/>
    </row>
    <row r="3" spans="1:8" ht="15" thickBot="1" x14ac:dyDescent="0.35">
      <c r="A3" s="21"/>
      <c r="B3" s="23"/>
      <c r="C3" s="23"/>
      <c r="D3" s="20"/>
      <c r="E3" s="20"/>
      <c r="F3" s="20"/>
      <c r="G3" s="20"/>
    </row>
    <row r="4" spans="1:8" x14ac:dyDescent="0.3">
      <c r="A4" s="825" t="s">
        <v>45</v>
      </c>
      <c r="B4" s="836" t="s">
        <v>187</v>
      </c>
      <c r="C4" s="837" t="s">
        <v>84</v>
      </c>
      <c r="D4" s="837"/>
      <c r="E4" s="837"/>
      <c r="F4" s="837" t="s">
        <v>85</v>
      </c>
      <c r="G4" s="837"/>
      <c r="H4" s="838"/>
    </row>
    <row r="5" spans="1:8" x14ac:dyDescent="0.3">
      <c r="A5" s="825"/>
      <c r="B5" s="836"/>
      <c r="C5" s="99" t="s">
        <v>86</v>
      </c>
      <c r="D5" s="99" t="s">
        <v>87</v>
      </c>
      <c r="E5" s="99" t="s">
        <v>88</v>
      </c>
      <c r="F5" s="99" t="s">
        <v>86</v>
      </c>
      <c r="G5" s="99" t="s">
        <v>87</v>
      </c>
      <c r="H5" s="126" t="s">
        <v>88</v>
      </c>
    </row>
    <row r="6" spans="1:8" x14ac:dyDescent="0.3">
      <c r="A6" s="65">
        <v>1</v>
      </c>
      <c r="B6" s="127" t="s">
        <v>188</v>
      </c>
      <c r="C6" s="128">
        <v>0</v>
      </c>
      <c r="D6" s="128">
        <v>0</v>
      </c>
      <c r="E6" s="129">
        <f t="shared" ref="E6:E43" si="0">C6+D6</f>
        <v>0</v>
      </c>
      <c r="F6" s="128">
        <v>0</v>
      </c>
      <c r="G6" s="128">
        <v>0</v>
      </c>
      <c r="H6" s="130">
        <v>0</v>
      </c>
    </row>
    <row r="7" spans="1:8" x14ac:dyDescent="0.3">
      <c r="A7" s="65">
        <v>2</v>
      </c>
      <c r="B7" s="127" t="s">
        <v>189</v>
      </c>
      <c r="C7" s="128">
        <v>0</v>
      </c>
      <c r="D7" s="128">
        <v>0</v>
      </c>
      <c r="E7" s="129">
        <f t="shared" si="0"/>
        <v>0</v>
      </c>
      <c r="F7" s="128">
        <v>0</v>
      </c>
      <c r="G7" s="128">
        <v>0</v>
      </c>
      <c r="H7" s="130">
        <v>0</v>
      </c>
    </row>
    <row r="8" spans="1:8" x14ac:dyDescent="0.3">
      <c r="A8" s="65">
        <v>3</v>
      </c>
      <c r="B8" s="127" t="s">
        <v>190</v>
      </c>
      <c r="C8" s="128">
        <f>C9+C10</f>
        <v>3720300</v>
      </c>
      <c r="D8" s="128">
        <f>D9+D10</f>
        <v>1868204230</v>
      </c>
      <c r="E8" s="129">
        <f t="shared" si="0"/>
        <v>1871924530</v>
      </c>
      <c r="F8" s="128">
        <v>418600</v>
      </c>
      <c r="G8" s="128">
        <v>771394860</v>
      </c>
      <c r="H8" s="130">
        <v>771813460</v>
      </c>
    </row>
    <row r="9" spans="1:8" x14ac:dyDescent="0.3">
      <c r="A9" s="65">
        <v>3.1</v>
      </c>
      <c r="B9" s="131" t="s">
        <v>191</v>
      </c>
      <c r="C9" s="128">
        <v>3720300</v>
      </c>
      <c r="D9" s="128">
        <v>1868204230</v>
      </c>
      <c r="E9" s="129">
        <f t="shared" si="0"/>
        <v>1871924530</v>
      </c>
      <c r="F9" s="128">
        <v>418600</v>
      </c>
      <c r="G9" s="128">
        <v>771394860</v>
      </c>
      <c r="H9" s="130">
        <v>771813460</v>
      </c>
    </row>
    <row r="10" spans="1:8" x14ac:dyDescent="0.3">
      <c r="A10" s="65">
        <v>3.2</v>
      </c>
      <c r="B10" s="131" t="s">
        <v>192</v>
      </c>
      <c r="C10" s="128">
        <v>0</v>
      </c>
      <c r="D10" s="128">
        <v>0</v>
      </c>
      <c r="E10" s="129">
        <f t="shared" si="0"/>
        <v>0</v>
      </c>
      <c r="F10" s="128">
        <v>0</v>
      </c>
      <c r="G10" s="128">
        <v>0</v>
      </c>
      <c r="H10" s="130">
        <v>0</v>
      </c>
    </row>
    <row r="11" spans="1:8" ht="27.6" x14ac:dyDescent="0.3">
      <c r="A11" s="65">
        <v>4</v>
      </c>
      <c r="B11" s="127" t="s">
        <v>193</v>
      </c>
      <c r="C11" s="128">
        <f>C12+C13</f>
        <v>0</v>
      </c>
      <c r="D11" s="128">
        <f>D12+D13</f>
        <v>0</v>
      </c>
      <c r="E11" s="129">
        <f t="shared" si="0"/>
        <v>0</v>
      </c>
      <c r="F11" s="128">
        <v>0</v>
      </c>
      <c r="G11" s="128">
        <v>0</v>
      </c>
      <c r="H11" s="130">
        <v>0</v>
      </c>
    </row>
    <row r="12" spans="1:8" x14ac:dyDescent="0.3">
      <c r="A12" s="65">
        <v>4.0999999999999996</v>
      </c>
      <c r="B12" s="131" t="s">
        <v>194</v>
      </c>
      <c r="C12" s="128">
        <v>0</v>
      </c>
      <c r="D12" s="128">
        <v>0</v>
      </c>
      <c r="E12" s="129">
        <f t="shared" si="0"/>
        <v>0</v>
      </c>
      <c r="F12" s="128">
        <v>0</v>
      </c>
      <c r="G12" s="128">
        <v>0</v>
      </c>
      <c r="H12" s="130">
        <v>0</v>
      </c>
    </row>
    <row r="13" spans="1:8" x14ac:dyDescent="0.3">
      <c r="A13" s="65">
        <v>4.2</v>
      </c>
      <c r="B13" s="131" t="s">
        <v>195</v>
      </c>
      <c r="C13" s="128">
        <v>0</v>
      </c>
      <c r="D13" s="128">
        <v>0</v>
      </c>
      <c r="E13" s="129">
        <f t="shared" si="0"/>
        <v>0</v>
      </c>
      <c r="F13" s="128">
        <v>0</v>
      </c>
      <c r="G13" s="128">
        <v>0</v>
      </c>
      <c r="H13" s="130">
        <v>0</v>
      </c>
    </row>
    <row r="14" spans="1:8" x14ac:dyDescent="0.3">
      <c r="A14" s="65">
        <v>5</v>
      </c>
      <c r="B14" s="132" t="s">
        <v>196</v>
      </c>
      <c r="C14" s="128">
        <f>C15+C16+C17+C23+C24+C25+C26</f>
        <v>395115.24</v>
      </c>
      <c r="D14" s="128">
        <f>D15+D16+D17+D23+D24+D25+D26</f>
        <v>239273562.88</v>
      </c>
      <c r="E14" s="129">
        <f t="shared" si="0"/>
        <v>239668678.12</v>
      </c>
      <c r="F14" s="128">
        <v>1007120</v>
      </c>
      <c r="G14" s="128">
        <v>97026932</v>
      </c>
      <c r="H14" s="130">
        <v>98034052</v>
      </c>
    </row>
    <row r="15" spans="1:8" x14ac:dyDescent="0.3">
      <c r="A15" s="65">
        <v>5.0999999999999996</v>
      </c>
      <c r="B15" s="133" t="s">
        <v>197</v>
      </c>
      <c r="C15" s="128">
        <v>395115.24</v>
      </c>
      <c r="D15" s="128">
        <v>4006090.4</v>
      </c>
      <c r="E15" s="129">
        <f t="shared" si="0"/>
        <v>4401205.6399999997</v>
      </c>
      <c r="F15" s="128">
        <v>986620</v>
      </c>
      <c r="G15" s="128">
        <v>1795825</v>
      </c>
      <c r="H15" s="130">
        <v>2782445</v>
      </c>
    </row>
    <row r="16" spans="1:8" x14ac:dyDescent="0.3">
      <c r="A16" s="65">
        <v>5.2</v>
      </c>
      <c r="B16" s="133" t="s">
        <v>198</v>
      </c>
      <c r="C16" s="128">
        <v>0</v>
      </c>
      <c r="D16" s="128">
        <v>0</v>
      </c>
      <c r="E16" s="129">
        <f t="shared" si="0"/>
        <v>0</v>
      </c>
      <c r="F16" s="128">
        <v>0</v>
      </c>
      <c r="G16" s="128">
        <v>0</v>
      </c>
      <c r="H16" s="130">
        <v>0</v>
      </c>
    </row>
    <row r="17" spans="1:10" x14ac:dyDescent="0.3">
      <c r="A17" s="65">
        <v>5.3</v>
      </c>
      <c r="B17" s="133" t="s">
        <v>199</v>
      </c>
      <c r="C17" s="128">
        <f>C18+C19+C20+C21+C22</f>
        <v>0</v>
      </c>
      <c r="D17" s="128">
        <f>D18+D19+D20+D21+D22</f>
        <v>213555928.5</v>
      </c>
      <c r="E17" s="129">
        <f t="shared" si="0"/>
        <v>213555928.5</v>
      </c>
      <c r="F17" s="128">
        <v>0</v>
      </c>
      <c r="G17" s="128">
        <v>82942830</v>
      </c>
      <c r="H17" s="130">
        <v>82942830</v>
      </c>
    </row>
    <row r="18" spans="1:10" x14ac:dyDescent="0.3">
      <c r="A18" s="65" t="s">
        <v>200</v>
      </c>
      <c r="B18" s="134" t="s">
        <v>201</v>
      </c>
      <c r="C18" s="128">
        <v>0</v>
      </c>
      <c r="D18" s="128">
        <v>62305747.909999996</v>
      </c>
      <c r="E18" s="129">
        <f t="shared" si="0"/>
        <v>62305747.909999996</v>
      </c>
      <c r="F18" s="128">
        <v>0</v>
      </c>
      <c r="G18" s="128">
        <v>22641426</v>
      </c>
      <c r="H18" s="130">
        <v>22641426</v>
      </c>
    </row>
    <row r="19" spans="1:10" x14ac:dyDescent="0.3">
      <c r="A19" s="65" t="s">
        <v>202</v>
      </c>
      <c r="B19" s="135" t="s">
        <v>203</v>
      </c>
      <c r="C19" s="128">
        <v>0</v>
      </c>
      <c r="D19" s="128">
        <v>40718782.759999998</v>
      </c>
      <c r="E19" s="129">
        <f t="shared" si="0"/>
        <v>40718782.759999998</v>
      </c>
      <c r="F19" s="128">
        <v>0</v>
      </c>
      <c r="G19" s="128">
        <v>19422062</v>
      </c>
      <c r="H19" s="130">
        <v>19422062</v>
      </c>
    </row>
    <row r="20" spans="1:10" x14ac:dyDescent="0.3">
      <c r="A20" s="65" t="s">
        <v>204</v>
      </c>
      <c r="B20" s="135" t="s">
        <v>205</v>
      </c>
      <c r="C20" s="128">
        <v>0</v>
      </c>
      <c r="D20" s="128">
        <v>18485032.649999999</v>
      </c>
      <c r="E20" s="129">
        <f t="shared" si="0"/>
        <v>18485032.649999999</v>
      </c>
      <c r="F20" s="128">
        <v>0</v>
      </c>
      <c r="G20" s="128">
        <v>1757336</v>
      </c>
      <c r="H20" s="130">
        <v>1757336</v>
      </c>
    </row>
    <row r="21" spans="1:10" x14ac:dyDescent="0.3">
      <c r="A21" s="65" t="s">
        <v>206</v>
      </c>
      <c r="B21" s="135" t="s">
        <v>207</v>
      </c>
      <c r="C21" s="128">
        <v>0</v>
      </c>
      <c r="D21" s="128">
        <v>92046365.180000007</v>
      </c>
      <c r="E21" s="129">
        <f t="shared" si="0"/>
        <v>92046365.180000007</v>
      </c>
      <c r="F21" s="128">
        <v>0</v>
      </c>
      <c r="G21" s="128">
        <v>39122006</v>
      </c>
      <c r="H21" s="130">
        <v>39122006</v>
      </c>
    </row>
    <row r="22" spans="1:10" x14ac:dyDescent="0.3">
      <c r="A22" s="65" t="s">
        <v>208</v>
      </c>
      <c r="B22" s="136" t="s">
        <v>209</v>
      </c>
      <c r="C22" s="128">
        <v>0</v>
      </c>
      <c r="D22" s="128">
        <v>0</v>
      </c>
      <c r="E22" s="129">
        <f t="shared" si="0"/>
        <v>0</v>
      </c>
      <c r="F22" s="128">
        <v>0</v>
      </c>
      <c r="G22" s="128">
        <v>0</v>
      </c>
      <c r="H22" s="130">
        <v>0</v>
      </c>
    </row>
    <row r="23" spans="1:10" x14ac:dyDescent="0.3">
      <c r="A23" s="65">
        <v>5.4</v>
      </c>
      <c r="B23" s="133" t="s">
        <v>210</v>
      </c>
      <c r="C23" s="128">
        <v>0</v>
      </c>
      <c r="D23" s="128">
        <v>21711543.98</v>
      </c>
      <c r="E23" s="129">
        <f t="shared" si="0"/>
        <v>21711543.98</v>
      </c>
      <c r="F23" s="128">
        <v>20500</v>
      </c>
      <c r="G23" s="128">
        <v>12288277</v>
      </c>
      <c r="H23" s="130">
        <v>12308777</v>
      </c>
    </row>
    <row r="24" spans="1:10" x14ac:dyDescent="0.3">
      <c r="A24" s="65">
        <v>5.5</v>
      </c>
      <c r="B24" s="133" t="s">
        <v>211</v>
      </c>
      <c r="C24" s="128">
        <v>0</v>
      </c>
      <c r="D24" s="128">
        <v>0</v>
      </c>
      <c r="E24" s="129">
        <f t="shared" si="0"/>
        <v>0</v>
      </c>
      <c r="F24" s="128">
        <v>0</v>
      </c>
      <c r="G24" s="128">
        <v>0</v>
      </c>
      <c r="H24" s="130">
        <v>0</v>
      </c>
    </row>
    <row r="25" spans="1:10" x14ac:dyDescent="0.3">
      <c r="A25" s="65">
        <v>5.6</v>
      </c>
      <c r="B25" s="133" t="s">
        <v>212</v>
      </c>
      <c r="C25" s="128">
        <v>0</v>
      </c>
      <c r="D25" s="128">
        <v>0</v>
      </c>
      <c r="E25" s="129">
        <f t="shared" si="0"/>
        <v>0</v>
      </c>
      <c r="F25" s="128">
        <v>0</v>
      </c>
      <c r="G25" s="128">
        <v>0</v>
      </c>
      <c r="H25" s="130">
        <v>0</v>
      </c>
    </row>
    <row r="26" spans="1:10" x14ac:dyDescent="0.3">
      <c r="A26" s="65">
        <v>5.7</v>
      </c>
      <c r="B26" s="133" t="s">
        <v>209</v>
      </c>
      <c r="C26" s="128">
        <v>0</v>
      </c>
      <c r="D26" s="128">
        <v>0</v>
      </c>
      <c r="E26" s="129">
        <f t="shared" si="0"/>
        <v>0</v>
      </c>
      <c r="F26" s="128">
        <v>0</v>
      </c>
      <c r="G26" s="128">
        <v>0</v>
      </c>
      <c r="H26" s="130">
        <v>0</v>
      </c>
    </row>
    <row r="27" spans="1:10" x14ac:dyDescent="0.3">
      <c r="A27" s="65">
        <v>6</v>
      </c>
      <c r="B27" s="132" t="s">
        <v>213</v>
      </c>
      <c r="C27" s="128">
        <v>10069101.48</v>
      </c>
      <c r="D27" s="128">
        <v>1018346.29</v>
      </c>
      <c r="E27" s="129">
        <f t="shared" si="0"/>
        <v>11087447.77</v>
      </c>
      <c r="F27" s="128">
        <v>2001074</v>
      </c>
      <c r="G27" s="128">
        <v>1278920</v>
      </c>
      <c r="H27" s="130">
        <v>3279994</v>
      </c>
    </row>
    <row r="28" spans="1:10" x14ac:dyDescent="0.3">
      <c r="A28" s="65">
        <v>7</v>
      </c>
      <c r="B28" s="132" t="s">
        <v>214</v>
      </c>
      <c r="C28" s="128">
        <v>3476832.27</v>
      </c>
      <c r="D28" s="128">
        <v>9137599.2799999993</v>
      </c>
      <c r="E28" s="129">
        <f t="shared" si="0"/>
        <v>12614431.549999999</v>
      </c>
      <c r="F28" s="128">
        <v>1546857</v>
      </c>
      <c r="G28" s="128">
        <v>2099823</v>
      </c>
      <c r="H28" s="130">
        <v>3646680</v>
      </c>
    </row>
    <row r="29" spans="1:10" x14ac:dyDescent="0.3">
      <c r="A29" s="65">
        <v>8</v>
      </c>
      <c r="B29" s="132" t="s">
        <v>215</v>
      </c>
      <c r="C29" s="128">
        <v>0</v>
      </c>
      <c r="D29" s="128">
        <v>0</v>
      </c>
      <c r="E29" s="129">
        <f t="shared" si="0"/>
        <v>0</v>
      </c>
      <c r="F29" s="128">
        <v>0</v>
      </c>
      <c r="G29" s="128">
        <v>0</v>
      </c>
      <c r="H29" s="130">
        <v>0</v>
      </c>
    </row>
    <row r="30" spans="1:10" x14ac:dyDescent="0.3">
      <c r="A30" s="65">
        <v>9</v>
      </c>
      <c r="B30" s="127" t="s">
        <v>216</v>
      </c>
      <c r="C30" s="128">
        <f>C31+C32+C33+C34+C35+C36+C37</f>
        <v>0</v>
      </c>
      <c r="D30" s="128">
        <f>D31+D32+D33+D34+D35+D36+D37</f>
        <v>33207600</v>
      </c>
      <c r="E30" s="129">
        <f t="shared" si="0"/>
        <v>33207600</v>
      </c>
      <c r="F30" s="128">
        <v>1315000</v>
      </c>
      <c r="G30" s="128">
        <v>16171800</v>
      </c>
      <c r="H30" s="130">
        <v>17486800</v>
      </c>
    </row>
    <row r="31" spans="1:10" ht="27.6" x14ac:dyDescent="0.3">
      <c r="A31" s="65">
        <v>9.1</v>
      </c>
      <c r="B31" s="131" t="s">
        <v>217</v>
      </c>
      <c r="C31" s="128">
        <v>0</v>
      </c>
      <c r="D31" s="128">
        <v>0</v>
      </c>
      <c r="E31" s="129">
        <f>C31+D31</f>
        <v>0</v>
      </c>
      <c r="F31" s="128">
        <v>0</v>
      </c>
      <c r="G31" s="128">
        <v>0</v>
      </c>
      <c r="H31" s="130">
        <v>0</v>
      </c>
      <c r="J31" s="37"/>
    </row>
    <row r="32" spans="1:10" ht="27.6" x14ac:dyDescent="0.3">
      <c r="A32" s="65">
        <v>9.1999999999999993</v>
      </c>
      <c r="B32" s="131" t="s">
        <v>218</v>
      </c>
      <c r="C32" s="128">
        <v>0</v>
      </c>
      <c r="D32" s="128">
        <v>33207600</v>
      </c>
      <c r="E32" s="129">
        <f t="shared" si="0"/>
        <v>33207600</v>
      </c>
      <c r="F32" s="128">
        <v>1315000</v>
      </c>
      <c r="G32" s="128">
        <v>16171800</v>
      </c>
      <c r="H32" s="130">
        <v>17486800</v>
      </c>
    </row>
    <row r="33" spans="1:8" ht="27.6" x14ac:dyDescent="0.3">
      <c r="A33" s="65">
        <v>9.3000000000000007</v>
      </c>
      <c r="B33" s="131" t="s">
        <v>219</v>
      </c>
      <c r="C33" s="128">
        <v>0</v>
      </c>
      <c r="D33" s="128">
        <v>0</v>
      </c>
      <c r="E33" s="129">
        <f t="shared" si="0"/>
        <v>0</v>
      </c>
      <c r="F33" s="128">
        <v>0</v>
      </c>
      <c r="G33" s="128">
        <v>0</v>
      </c>
      <c r="H33" s="130">
        <v>0</v>
      </c>
    </row>
    <row r="34" spans="1:8" x14ac:dyDescent="0.3">
      <c r="A34" s="65">
        <v>9.4</v>
      </c>
      <c r="B34" s="131" t="s">
        <v>220</v>
      </c>
      <c r="C34" s="128">
        <v>0</v>
      </c>
      <c r="D34" s="128">
        <v>0</v>
      </c>
      <c r="E34" s="129">
        <f t="shared" si="0"/>
        <v>0</v>
      </c>
      <c r="F34" s="128">
        <v>0</v>
      </c>
      <c r="G34" s="128">
        <v>0</v>
      </c>
      <c r="H34" s="130">
        <v>0</v>
      </c>
    </row>
    <row r="35" spans="1:8" x14ac:dyDescent="0.3">
      <c r="A35" s="65">
        <v>9.5</v>
      </c>
      <c r="B35" s="131" t="s">
        <v>221</v>
      </c>
      <c r="C35" s="128">
        <v>0</v>
      </c>
      <c r="D35" s="128">
        <v>0</v>
      </c>
      <c r="E35" s="129">
        <f t="shared" si="0"/>
        <v>0</v>
      </c>
      <c r="F35" s="128">
        <v>0</v>
      </c>
      <c r="G35" s="128">
        <v>0</v>
      </c>
      <c r="H35" s="130">
        <v>0</v>
      </c>
    </row>
    <row r="36" spans="1:8" ht="27.6" x14ac:dyDescent="0.3">
      <c r="A36" s="65">
        <v>9.6</v>
      </c>
      <c r="B36" s="131" t="s">
        <v>222</v>
      </c>
      <c r="C36" s="128">
        <v>0</v>
      </c>
      <c r="D36" s="128">
        <v>0</v>
      </c>
      <c r="E36" s="129">
        <f t="shared" si="0"/>
        <v>0</v>
      </c>
      <c r="F36" s="128">
        <v>0</v>
      </c>
      <c r="G36" s="128">
        <v>0</v>
      </c>
      <c r="H36" s="130">
        <v>0</v>
      </c>
    </row>
    <row r="37" spans="1:8" ht="27.6" x14ac:dyDescent="0.3">
      <c r="A37" s="65">
        <v>9.6999999999999993</v>
      </c>
      <c r="B37" s="131" t="s">
        <v>223</v>
      </c>
      <c r="C37" s="128">
        <v>0</v>
      </c>
      <c r="D37" s="128">
        <v>0</v>
      </c>
      <c r="E37" s="129">
        <f t="shared" si="0"/>
        <v>0</v>
      </c>
      <c r="F37" s="128">
        <v>0</v>
      </c>
      <c r="G37" s="128">
        <v>0</v>
      </c>
      <c r="H37" s="130">
        <v>0</v>
      </c>
    </row>
    <row r="38" spans="1:8" x14ac:dyDescent="0.3">
      <c r="A38" s="65">
        <v>10</v>
      </c>
      <c r="B38" s="132" t="s">
        <v>224</v>
      </c>
      <c r="C38" s="128">
        <f>C39+C40+C41+C42</f>
        <v>3986773.67</v>
      </c>
      <c r="D38" s="128">
        <f>D39+D40+D41+D42</f>
        <v>4956185.41</v>
      </c>
      <c r="E38" s="129">
        <f t="shared" si="0"/>
        <v>8942959.0800000001</v>
      </c>
      <c r="F38" s="128">
        <v>4298369.49</v>
      </c>
      <c r="G38" s="128">
        <v>4581021</v>
      </c>
      <c r="H38" s="130">
        <v>8879390.4900000002</v>
      </c>
    </row>
    <row r="39" spans="1:8" x14ac:dyDescent="0.3">
      <c r="A39" s="65">
        <v>10.1</v>
      </c>
      <c r="B39" s="131" t="s">
        <v>225</v>
      </c>
      <c r="C39" s="128">
        <v>1.5</v>
      </c>
      <c r="D39" s="128">
        <v>0</v>
      </c>
      <c r="E39" s="129">
        <f t="shared" si="0"/>
        <v>1.5</v>
      </c>
      <c r="F39" s="128">
        <v>50993.489999999991</v>
      </c>
      <c r="G39" s="128">
        <v>0</v>
      </c>
      <c r="H39" s="130">
        <v>50993.489999999991</v>
      </c>
    </row>
    <row r="40" spans="1:8" ht="27.6" x14ac:dyDescent="0.3">
      <c r="A40" s="65">
        <v>10.199999999999999</v>
      </c>
      <c r="B40" s="131" t="s">
        <v>226</v>
      </c>
      <c r="C40" s="128">
        <v>1682325</v>
      </c>
      <c r="D40" s="128">
        <v>2273998</v>
      </c>
      <c r="E40" s="129">
        <f t="shared" si="0"/>
        <v>3956323</v>
      </c>
      <c r="F40" s="128">
        <v>1583433</v>
      </c>
      <c r="G40" s="128">
        <v>2215964</v>
      </c>
      <c r="H40" s="130">
        <v>3799397</v>
      </c>
    </row>
    <row r="41" spans="1:8" ht="27.6" x14ac:dyDescent="0.3">
      <c r="A41" s="65">
        <v>10.3</v>
      </c>
      <c r="B41" s="131" t="s">
        <v>227</v>
      </c>
      <c r="C41" s="128">
        <v>461037.16999999981</v>
      </c>
      <c r="D41" s="128">
        <v>290450.40999999997</v>
      </c>
      <c r="E41" s="129">
        <f t="shared" si="0"/>
        <v>751487.57999999984</v>
      </c>
      <c r="F41" s="128">
        <v>765707</v>
      </c>
      <c r="G41" s="128">
        <v>15247</v>
      </c>
      <c r="H41" s="130">
        <v>780954</v>
      </c>
    </row>
    <row r="42" spans="1:8" ht="27.6" x14ac:dyDescent="0.3">
      <c r="A42" s="65">
        <v>10.4</v>
      </c>
      <c r="B42" s="131" t="s">
        <v>228</v>
      </c>
      <c r="C42" s="128">
        <v>1843410</v>
      </c>
      <c r="D42" s="128">
        <v>2391737</v>
      </c>
      <c r="E42" s="129">
        <f t="shared" si="0"/>
        <v>4235147</v>
      </c>
      <c r="F42" s="128">
        <v>1898236</v>
      </c>
      <c r="G42" s="128">
        <v>2349810</v>
      </c>
      <c r="H42" s="130">
        <v>4248046</v>
      </c>
    </row>
    <row r="43" spans="1:8" x14ac:dyDescent="0.3">
      <c r="A43" s="65">
        <v>11</v>
      </c>
      <c r="B43" s="137" t="s">
        <v>229</v>
      </c>
      <c r="C43" s="128">
        <v>0</v>
      </c>
      <c r="D43" s="128">
        <v>0</v>
      </c>
      <c r="E43" s="129">
        <f t="shared" si="0"/>
        <v>0</v>
      </c>
      <c r="F43" s="128">
        <v>0</v>
      </c>
      <c r="G43" s="128">
        <v>0</v>
      </c>
      <c r="H43" s="130">
        <v>0</v>
      </c>
    </row>
    <row r="44" spans="1:8" x14ac:dyDescent="0.3">
      <c r="C44" s="138"/>
      <c r="D44" s="138"/>
      <c r="E44" s="138"/>
      <c r="F44" s="138"/>
      <c r="G44" s="138"/>
      <c r="H44" s="138"/>
    </row>
    <row r="45" spans="1:8" x14ac:dyDescent="0.3">
      <c r="C45" s="138"/>
      <c r="D45" s="138"/>
      <c r="E45" s="138"/>
      <c r="F45" s="138"/>
      <c r="G45" s="138"/>
      <c r="H45" s="138"/>
    </row>
    <row r="46" spans="1:8" x14ac:dyDescent="0.3">
      <c r="C46" s="138"/>
      <c r="D46" s="138"/>
      <c r="E46" s="138"/>
      <c r="F46" s="138"/>
      <c r="G46" s="138"/>
      <c r="H46" s="138"/>
    </row>
    <row r="47" spans="1:8" x14ac:dyDescent="0.3">
      <c r="C47" s="138"/>
      <c r="D47" s="138"/>
      <c r="E47" s="138"/>
      <c r="F47" s="138"/>
      <c r="G47" s="138"/>
      <c r="H47" s="138"/>
    </row>
    <row r="51" spans="5:6" x14ac:dyDescent="0.3">
      <c r="E51" s="37"/>
      <c r="F51" s="37"/>
    </row>
  </sheetData>
  <mergeCells count="4">
    <mergeCell ref="A4:A5"/>
    <mergeCell ref="B4:B5"/>
    <mergeCell ref="C4:E4"/>
    <mergeCell ref="F4:H4"/>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528B-0875-4D52-848E-61DDEF73408C}">
  <dimension ref="A1:G35"/>
  <sheetViews>
    <sheetView zoomScale="145" zoomScaleNormal="145" workbookViewId="0">
      <pane xSplit="1" ySplit="4" topLeftCell="B5" activePane="bottomRight" state="frozen"/>
      <selection activeCell="B2" sqref="B2:C6"/>
      <selection pane="topRight" activeCell="B2" sqref="B2:C6"/>
      <selection pane="bottomLeft" activeCell="B2" sqref="B2:C6"/>
      <selection pane="bottomRight" activeCell="B9" sqref="B9"/>
    </sheetView>
  </sheetViews>
  <sheetFormatPr defaultColWidth="9.109375" defaultRowHeight="13.8" x14ac:dyDescent="0.3"/>
  <cols>
    <col min="1" max="1" width="9.5546875" style="20" bestFit="1" customWidth="1"/>
    <col min="2" max="2" width="93.5546875" style="20" customWidth="1"/>
    <col min="3" max="5" width="11.6640625" style="20" customWidth="1"/>
    <col min="6" max="6" width="11.6640625" style="139" customWidth="1"/>
    <col min="7" max="7" width="13.6640625" style="139" customWidth="1"/>
    <col min="8" max="8" width="9.6640625" style="139" customWidth="1"/>
    <col min="9" max="16384" width="9.109375" style="139"/>
  </cols>
  <sheetData>
    <row r="1" spans="1:7" x14ac:dyDescent="0.3">
      <c r="A1" s="21" t="s">
        <v>41</v>
      </c>
      <c r="B1" s="23" t="str">
        <f>Info!C2</f>
        <v>სს სილქ ბანკი</v>
      </c>
      <c r="C1" s="23"/>
      <c r="D1" s="23"/>
    </row>
    <row r="2" spans="1:7" x14ac:dyDescent="0.3">
      <c r="A2" s="21" t="s">
        <v>42</v>
      </c>
      <c r="B2" s="24">
        <f>'1. key ratios'!B2</f>
        <v>45747</v>
      </c>
      <c r="C2" s="23"/>
      <c r="D2" s="23"/>
    </row>
    <row r="3" spans="1:7" x14ac:dyDescent="0.3">
      <c r="A3" s="21"/>
      <c r="B3" s="23"/>
      <c r="C3" s="23"/>
      <c r="D3" s="23"/>
    </row>
    <row r="4" spans="1:7" ht="40.5" customHeight="1" thickBot="1" x14ac:dyDescent="0.35">
      <c r="A4" s="140" t="s">
        <v>230</v>
      </c>
      <c r="B4" s="141" t="s">
        <v>16</v>
      </c>
      <c r="C4" s="142" t="s">
        <v>231</v>
      </c>
      <c r="D4" s="142"/>
    </row>
    <row r="5" spans="1:7" ht="15" customHeight="1" x14ac:dyDescent="0.25">
      <c r="A5" s="143" t="s">
        <v>45</v>
      </c>
      <c r="B5" s="144"/>
      <c r="C5" s="145" t="str">
        <f>INT((MONTH($B$2))/3)&amp;"Q"&amp;"-"&amp;YEAR($B$2)</f>
        <v>1Q-2025</v>
      </c>
      <c r="D5" s="145" t="str">
        <f>IF(INT(MONTH($B$2))=3, "4"&amp;"Q"&amp;"-"&amp;YEAR($B$2)-1, IF(INT(MONTH($B$2))=6, "1"&amp;"Q"&amp;"-"&amp;YEAR($B$2), IF(INT(MONTH($B$2))=9, "2"&amp;"Q"&amp;"-"&amp;YEAR($B$2),IF(INT(MONTH($B$2))=12, "3"&amp;"Q"&amp;"-"&amp;YEAR($B$2), 0))))</f>
        <v>4Q-2024</v>
      </c>
      <c r="E5" s="145" t="str">
        <f>IF(INT(MONTH($B$2))=3, "3"&amp;"Q"&amp;"-"&amp;YEAR($B$2)-1, IF(INT(MONTH($B$2))=6, "4"&amp;"Q"&amp;"-"&amp;YEAR($B$2)-1, IF(INT(MONTH($B$2))=9, "1"&amp;"Q"&amp;"-"&amp;YEAR($B$2),IF(INT(MONTH($B$2))=12, "2"&amp;"Q"&amp;"-"&amp;YEAR($B$2), 0))))</f>
        <v>3Q-2024</v>
      </c>
      <c r="F5" s="145" t="str">
        <f>IF(INT(MONTH($B$2))=3, "2"&amp;"Q"&amp;"-"&amp;YEAR($B$2)-1, IF(INT(MONTH($B$2))=6, "3"&amp;"Q"&amp;"-"&amp;YEAR($B$2)-1, IF(INT(MONTH($B$2))=9, "4"&amp;"Q"&amp;"-"&amp;YEAR($B$2)-1,IF(INT(MONTH($B$2))=12, "1"&amp;"Q"&amp;"-"&amp;YEAR($B$2), 0))))</f>
        <v>2Q-2024</v>
      </c>
      <c r="G5" s="145" t="str">
        <f>IF(INT(MONTH($B$2))=3, "1"&amp;"Q"&amp;"-"&amp;YEAR($B$2)-1, IF(INT(MONTH($B$2))=6, "2"&amp;"Q"&amp;"-"&amp;YEAR($B$2)-1, IF(INT(MONTH($B$2))=9, "3"&amp;"Q"&amp;"-"&amp;YEAR($B$2)-1,IF(INT(MONTH($B$2))=12, "4"&amp;"Q"&amp;"-"&amp;YEAR($B$2)-1, 0))))</f>
        <v>1Q-2024</v>
      </c>
    </row>
    <row r="6" spans="1:7" ht="15" customHeight="1" x14ac:dyDescent="0.25">
      <c r="A6" s="146">
        <v>1</v>
      </c>
      <c r="B6" s="147" t="s">
        <v>232</v>
      </c>
      <c r="C6" s="148">
        <f>C7+C9+C10</f>
        <v>167463265.40874037</v>
      </c>
      <c r="D6" s="148">
        <v>181360783.88618305</v>
      </c>
      <c r="E6" s="148">
        <v>159700294.78556013</v>
      </c>
      <c r="F6" s="148">
        <v>146303205.7720727</v>
      </c>
      <c r="G6" s="149">
        <v>116957037.78093955</v>
      </c>
    </row>
    <row r="7" spans="1:7" ht="15" customHeight="1" x14ac:dyDescent="0.25">
      <c r="A7" s="146">
        <v>1.1000000000000001</v>
      </c>
      <c r="B7" s="150" t="s">
        <v>1034</v>
      </c>
      <c r="C7" s="151">
        <v>160349597.18862849</v>
      </c>
      <c r="D7" s="151">
        <v>174839003.45347792</v>
      </c>
      <c r="E7" s="152">
        <v>154330837.78556013</v>
      </c>
      <c r="F7" s="151">
        <v>139767862.17821136</v>
      </c>
      <c r="G7" s="153">
        <v>112969832.30927244</v>
      </c>
    </row>
    <row r="8" spans="1:7" ht="27.6" x14ac:dyDescent="0.25">
      <c r="A8" s="146" t="s">
        <v>233</v>
      </c>
      <c r="B8" s="154" t="s">
        <v>234</v>
      </c>
      <c r="C8" s="151"/>
      <c r="D8" s="151"/>
      <c r="E8" s="152"/>
      <c r="F8" s="151"/>
      <c r="G8" s="153"/>
    </row>
    <row r="9" spans="1:7" ht="15" customHeight="1" x14ac:dyDescent="0.25">
      <c r="A9" s="146">
        <v>1.2</v>
      </c>
      <c r="B9" s="150" t="s">
        <v>235</v>
      </c>
      <c r="C9" s="151">
        <v>6164403.5602633301</v>
      </c>
      <c r="D9" s="151">
        <v>5511332.4327051211</v>
      </c>
      <c r="E9" s="152">
        <v>4714329</v>
      </c>
      <c r="F9" s="151">
        <v>5787333.593861334</v>
      </c>
      <c r="G9" s="153">
        <v>3637469.4716671063</v>
      </c>
    </row>
    <row r="10" spans="1:7" ht="15" customHeight="1" x14ac:dyDescent="0.25">
      <c r="A10" s="146">
        <v>1.3</v>
      </c>
      <c r="B10" s="155" t="s">
        <v>28</v>
      </c>
      <c r="C10" s="151">
        <v>949264.65984853276</v>
      </c>
      <c r="D10" s="151">
        <v>1010448</v>
      </c>
      <c r="E10" s="152">
        <v>655128</v>
      </c>
      <c r="F10" s="151">
        <v>748010</v>
      </c>
      <c r="G10" s="153">
        <v>349736</v>
      </c>
    </row>
    <row r="11" spans="1:7" ht="15" customHeight="1" x14ac:dyDescent="0.25">
      <c r="A11" s="146">
        <v>2</v>
      </c>
      <c r="B11" s="147" t="s">
        <v>236</v>
      </c>
      <c r="C11" s="151">
        <v>930743.94357080269</v>
      </c>
      <c r="D11" s="151">
        <v>598178.90912198694</v>
      </c>
      <c r="E11" s="152">
        <v>284011.43371421</v>
      </c>
      <c r="F11" s="151">
        <v>834254.09875951475</v>
      </c>
      <c r="G11" s="153">
        <v>618164.27297467901</v>
      </c>
    </row>
    <row r="12" spans="1:7" ht="15" customHeight="1" x14ac:dyDescent="0.25">
      <c r="A12" s="146">
        <v>3</v>
      </c>
      <c r="B12" s="147" t="s">
        <v>237</v>
      </c>
      <c r="C12" s="151">
        <v>11330379.510855546</v>
      </c>
      <c r="D12" s="151">
        <v>11330379.510855546</v>
      </c>
      <c r="E12" s="152">
        <v>9176496.3328977302</v>
      </c>
      <c r="F12" s="151">
        <v>9176496.3328977302</v>
      </c>
      <c r="G12" s="153">
        <v>9168301.2517249286</v>
      </c>
    </row>
    <row r="13" spans="1:7" ht="15" customHeight="1" thickBot="1" x14ac:dyDescent="0.3">
      <c r="A13" s="156">
        <v>4</v>
      </c>
      <c r="B13" s="157" t="s">
        <v>238</v>
      </c>
      <c r="C13" s="158">
        <f>C6+C11+C12</f>
        <v>179724388.86316672</v>
      </c>
      <c r="D13" s="158">
        <v>193289342.3061606</v>
      </c>
      <c r="E13" s="158">
        <v>169160802.55217206</v>
      </c>
      <c r="F13" s="158">
        <v>156313956.20372993</v>
      </c>
      <c r="G13" s="159">
        <v>126743503.30563916</v>
      </c>
    </row>
    <row r="14" spans="1:7" x14ac:dyDescent="0.3">
      <c r="B14" s="53"/>
    </row>
    <row r="15" spans="1:7" x14ac:dyDescent="0.3">
      <c r="B15" s="53"/>
      <c r="C15" s="160"/>
    </row>
    <row r="16" spans="1:7" x14ac:dyDescent="0.3">
      <c r="B16" s="53"/>
    </row>
    <row r="17" spans="2:7" x14ac:dyDescent="0.3">
      <c r="B17" s="53"/>
    </row>
    <row r="18" spans="2:7" x14ac:dyDescent="0.3">
      <c r="B18" s="53"/>
      <c r="D18" s="161"/>
    </row>
    <row r="22" spans="2:7" x14ac:dyDescent="0.3">
      <c r="B22" s="162"/>
    </row>
    <row r="25" spans="2:7" x14ac:dyDescent="0.3">
      <c r="D25" s="161"/>
      <c r="E25" s="161"/>
      <c r="F25" s="161"/>
      <c r="G25" s="161"/>
    </row>
    <row r="26" spans="2:7" x14ac:dyDescent="0.3">
      <c r="D26" s="161"/>
      <c r="E26" s="161"/>
      <c r="F26" s="161"/>
      <c r="G26" s="161"/>
    </row>
    <row r="27" spans="2:7" x14ac:dyDescent="0.3">
      <c r="D27" s="161"/>
      <c r="E27" s="161"/>
      <c r="F27" s="161"/>
      <c r="G27" s="161"/>
    </row>
    <row r="28" spans="2:7" x14ac:dyDescent="0.3">
      <c r="D28" s="161"/>
      <c r="E28" s="161"/>
      <c r="F28" s="161"/>
      <c r="G28" s="161"/>
    </row>
    <row r="29" spans="2:7" x14ac:dyDescent="0.3">
      <c r="D29" s="161"/>
      <c r="E29" s="161"/>
      <c r="F29" s="161"/>
      <c r="G29" s="161"/>
    </row>
    <row r="30" spans="2:7" x14ac:dyDescent="0.3">
      <c r="D30" s="161"/>
      <c r="E30" s="161"/>
      <c r="F30" s="161"/>
      <c r="G30" s="161"/>
    </row>
    <row r="31" spans="2:7" x14ac:dyDescent="0.3">
      <c r="D31" s="161"/>
      <c r="E31" s="161"/>
      <c r="F31" s="161"/>
      <c r="G31" s="161"/>
    </row>
    <row r="32" spans="2:7" x14ac:dyDescent="0.3">
      <c r="D32" s="161"/>
      <c r="E32" s="161"/>
      <c r="F32" s="161"/>
      <c r="G32" s="161"/>
    </row>
    <row r="33" spans="4:7" x14ac:dyDescent="0.3">
      <c r="D33" s="161"/>
      <c r="E33" s="161"/>
      <c r="F33" s="161"/>
      <c r="G33" s="161"/>
    </row>
    <row r="34" spans="4:7" x14ac:dyDescent="0.3">
      <c r="D34" s="161"/>
      <c r="E34" s="161"/>
      <c r="F34" s="161"/>
      <c r="G34" s="161"/>
    </row>
    <row r="35" spans="4:7" x14ac:dyDescent="0.3">
      <c r="D35" s="161"/>
      <c r="E35" s="161"/>
      <c r="F35" s="161"/>
      <c r="G35" s="16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AE80E-A9A7-4788-AA87-D9121303232C}">
  <dimension ref="A1:C36"/>
  <sheetViews>
    <sheetView showGridLines="0" zoomScale="115" zoomScaleNormal="115" workbookViewId="0">
      <pane xSplit="1" ySplit="4" topLeftCell="B21" activePane="bottomRight" state="frozen"/>
      <selection activeCell="B2" sqref="B2:C6"/>
      <selection pane="topRight" activeCell="B2" sqref="B2:C6"/>
      <selection pane="bottomLeft" activeCell="B2" sqref="B2:C6"/>
      <selection pane="bottomRight" activeCell="C23" sqref="C23"/>
    </sheetView>
  </sheetViews>
  <sheetFormatPr defaultRowHeight="14.4" x14ac:dyDescent="0.3"/>
  <cols>
    <col min="1" max="1" width="9.5546875" style="20" bestFit="1" customWidth="1"/>
    <col min="2" max="2" width="53.6640625" style="20" customWidth="1"/>
    <col min="3" max="3" width="36.109375" style="20" customWidth="1"/>
  </cols>
  <sheetData>
    <row r="1" spans="1:3" x14ac:dyDescent="0.3">
      <c r="A1" s="20" t="s">
        <v>41</v>
      </c>
      <c r="B1" s="20" t="str">
        <f>Info!C2</f>
        <v>სს სილქ ბანკი</v>
      </c>
    </row>
    <row r="2" spans="1:3" x14ac:dyDescent="0.3">
      <c r="A2" s="20" t="s">
        <v>42</v>
      </c>
      <c r="B2" s="24">
        <f>'1. key ratios'!B2</f>
        <v>45747</v>
      </c>
    </row>
    <row r="4" spans="1:3" ht="40.5" customHeight="1" thickBot="1" x14ac:dyDescent="0.35">
      <c r="A4" s="164" t="s">
        <v>239</v>
      </c>
      <c r="B4" s="839" t="s">
        <v>17</v>
      </c>
      <c r="C4" s="839"/>
    </row>
    <row r="5" spans="1:3" x14ac:dyDescent="0.3">
      <c r="A5" s="165"/>
      <c r="B5" s="166" t="s">
        <v>240</v>
      </c>
      <c r="C5" s="125" t="s">
        <v>241</v>
      </c>
    </row>
    <row r="6" spans="1:3" ht="15" x14ac:dyDescent="0.35">
      <c r="A6" s="167">
        <v>1</v>
      </c>
      <c r="B6" s="168" t="s">
        <v>242</v>
      </c>
      <c r="C6" s="169" t="s">
        <v>243</v>
      </c>
    </row>
    <row r="7" spans="1:3" ht="15" x14ac:dyDescent="0.35">
      <c r="A7" s="167">
        <v>2</v>
      </c>
      <c r="B7" s="168" t="s">
        <v>244</v>
      </c>
      <c r="C7" s="169" t="s">
        <v>245</v>
      </c>
    </row>
    <row r="8" spans="1:3" ht="15" x14ac:dyDescent="0.35">
      <c r="A8" s="167">
        <v>3</v>
      </c>
      <c r="B8" s="168" t="s">
        <v>246</v>
      </c>
      <c r="C8" s="169" t="s">
        <v>245</v>
      </c>
    </row>
    <row r="9" spans="1:3" ht="15" x14ac:dyDescent="0.35">
      <c r="A9" s="167">
        <v>4</v>
      </c>
      <c r="B9" s="168" t="s">
        <v>247</v>
      </c>
      <c r="C9" s="169" t="s">
        <v>245</v>
      </c>
    </row>
    <row r="10" spans="1:3" ht="15" x14ac:dyDescent="0.35">
      <c r="A10" s="167">
        <v>5</v>
      </c>
      <c r="B10" s="168" t="s">
        <v>248</v>
      </c>
      <c r="C10" s="169" t="s">
        <v>249</v>
      </c>
    </row>
    <row r="11" spans="1:3" ht="15" x14ac:dyDescent="0.35">
      <c r="A11" s="167">
        <v>6</v>
      </c>
      <c r="B11" s="168" t="s">
        <v>250</v>
      </c>
      <c r="C11" s="169" t="s">
        <v>249</v>
      </c>
    </row>
    <row r="12" spans="1:3" ht="15" x14ac:dyDescent="0.35">
      <c r="A12" s="167"/>
      <c r="B12" s="840"/>
      <c r="C12" s="841"/>
    </row>
    <row r="13" spans="1:3" ht="41.4" x14ac:dyDescent="0.3">
      <c r="A13" s="167"/>
      <c r="B13" s="170" t="s">
        <v>251</v>
      </c>
      <c r="C13" s="171" t="s">
        <v>252</v>
      </c>
    </row>
    <row r="14" spans="1:3" x14ac:dyDescent="0.3">
      <c r="A14" s="167">
        <v>1</v>
      </c>
      <c r="B14" s="172" t="s">
        <v>253</v>
      </c>
      <c r="C14" s="173" t="s">
        <v>254</v>
      </c>
    </row>
    <row r="15" spans="1:3" x14ac:dyDescent="0.3">
      <c r="A15" s="167">
        <v>2</v>
      </c>
      <c r="B15" s="174" t="s">
        <v>255</v>
      </c>
      <c r="C15" s="173" t="s">
        <v>256</v>
      </c>
    </row>
    <row r="16" spans="1:3" x14ac:dyDescent="0.3">
      <c r="A16" s="167">
        <v>3</v>
      </c>
      <c r="B16" s="174" t="s">
        <v>257</v>
      </c>
      <c r="C16" s="173" t="s">
        <v>258</v>
      </c>
    </row>
    <row r="17" spans="1:3" ht="27.6" x14ac:dyDescent="0.3">
      <c r="A17" s="167">
        <v>4</v>
      </c>
      <c r="B17" s="172" t="s">
        <v>259</v>
      </c>
      <c r="C17" s="173" t="s">
        <v>260</v>
      </c>
    </row>
    <row r="18" spans="1:3" x14ac:dyDescent="0.3">
      <c r="A18" s="167">
        <v>5</v>
      </c>
      <c r="B18" s="172" t="s">
        <v>261</v>
      </c>
      <c r="C18" s="173" t="s">
        <v>262</v>
      </c>
    </row>
    <row r="19" spans="1:3" ht="27.6" x14ac:dyDescent="0.3">
      <c r="A19" s="167">
        <v>6</v>
      </c>
      <c r="B19" s="172" t="s">
        <v>263</v>
      </c>
      <c r="C19" s="173" t="s">
        <v>264</v>
      </c>
    </row>
    <row r="20" spans="1:3" x14ac:dyDescent="0.3">
      <c r="A20" s="167"/>
      <c r="B20" s="172"/>
      <c r="C20" s="175"/>
    </row>
    <row r="21" spans="1:3" ht="26.4" customHeight="1" x14ac:dyDescent="0.3">
      <c r="A21" s="167"/>
      <c r="B21" s="842" t="s">
        <v>265</v>
      </c>
      <c r="C21" s="843"/>
    </row>
    <row r="22" spans="1:3" ht="19.8" customHeight="1" x14ac:dyDescent="0.3">
      <c r="A22" s="167">
        <v>1</v>
      </c>
      <c r="B22" s="671" t="s">
        <v>266</v>
      </c>
      <c r="C22" s="672">
        <v>0.56699790000000005</v>
      </c>
    </row>
    <row r="23" spans="1:3" ht="15" customHeight="1" x14ac:dyDescent="0.35">
      <c r="A23" s="167">
        <v>2</v>
      </c>
      <c r="B23" s="168" t="s">
        <v>267</v>
      </c>
      <c r="C23" s="177">
        <v>0.35099999999999998</v>
      </c>
    </row>
    <row r="24" spans="1:3" ht="15" x14ac:dyDescent="0.35">
      <c r="A24" s="167">
        <v>3</v>
      </c>
      <c r="B24" s="168" t="s">
        <v>268</v>
      </c>
      <c r="C24" s="177">
        <v>8.2022600000000001E-2</v>
      </c>
    </row>
    <row r="25" spans="1:3" ht="15" x14ac:dyDescent="0.35">
      <c r="A25" s="167"/>
      <c r="B25" s="168"/>
      <c r="C25" s="178"/>
    </row>
    <row r="26" spans="1:3" ht="32.4" customHeight="1" x14ac:dyDescent="0.3">
      <c r="A26" s="167"/>
      <c r="B26" s="842" t="s">
        <v>269</v>
      </c>
      <c r="C26" s="843"/>
    </row>
    <row r="27" spans="1:3" ht="29.25" customHeight="1" x14ac:dyDescent="0.35">
      <c r="A27" s="167">
        <v>1</v>
      </c>
      <c r="B27" s="168" t="s">
        <v>266</v>
      </c>
      <c r="C27" s="180">
        <v>0.56699790000000005</v>
      </c>
    </row>
    <row r="28" spans="1:3" ht="15" customHeight="1" x14ac:dyDescent="0.35">
      <c r="A28" s="181">
        <v>1.1000000000000001</v>
      </c>
      <c r="B28" s="182" t="s">
        <v>270</v>
      </c>
      <c r="C28" s="183">
        <v>0.35099999999999998</v>
      </c>
    </row>
    <row r="29" spans="1:3" ht="15" x14ac:dyDescent="0.35">
      <c r="A29" s="181">
        <v>1.2</v>
      </c>
      <c r="B29" s="182" t="s">
        <v>271</v>
      </c>
      <c r="C29" s="183">
        <v>0.16205</v>
      </c>
    </row>
    <row r="30" spans="1:3" ht="15" x14ac:dyDescent="0.35">
      <c r="A30" s="181">
        <v>1.3</v>
      </c>
      <c r="B30" s="182" t="s">
        <v>272</v>
      </c>
      <c r="C30" s="183">
        <v>5.398E-2</v>
      </c>
    </row>
    <row r="31" spans="1:3" ht="15" x14ac:dyDescent="0.35">
      <c r="A31" s="181">
        <v>2</v>
      </c>
      <c r="B31" s="182" t="s">
        <v>267</v>
      </c>
      <c r="C31" s="183">
        <v>0.35099999999999998</v>
      </c>
    </row>
    <row r="32" spans="1:3" ht="28.8" x14ac:dyDescent="0.35">
      <c r="A32" s="181">
        <v>2.1</v>
      </c>
      <c r="B32" s="182" t="s">
        <v>273</v>
      </c>
      <c r="C32" s="183">
        <v>0.35099999999999998</v>
      </c>
    </row>
    <row r="33" spans="1:3" ht="15" x14ac:dyDescent="0.35">
      <c r="A33" s="184" t="s">
        <v>274</v>
      </c>
      <c r="B33" s="182" t="s">
        <v>275</v>
      </c>
      <c r="C33" s="183">
        <v>0.35099999999999998</v>
      </c>
    </row>
    <row r="34" spans="1:3" ht="15" x14ac:dyDescent="0.35">
      <c r="A34" s="184">
        <v>3</v>
      </c>
      <c r="B34" s="182" t="s">
        <v>268</v>
      </c>
      <c r="C34" s="183">
        <v>8.2022600000000001E-2</v>
      </c>
    </row>
    <row r="35" spans="1:3" ht="15" x14ac:dyDescent="0.35">
      <c r="A35" s="184">
        <v>3.1</v>
      </c>
      <c r="B35" s="182" t="s">
        <v>276</v>
      </c>
      <c r="C35" s="183">
        <v>7.2999999999999995E-2</v>
      </c>
    </row>
    <row r="36" spans="1:3" ht="15.6" thickBot="1" x14ac:dyDescent="0.4">
      <c r="A36" s="185"/>
      <c r="B36" s="186"/>
      <c r="C36" s="187"/>
    </row>
  </sheetData>
  <mergeCells count="4">
    <mergeCell ref="B4:C4"/>
    <mergeCell ref="B12:C12"/>
    <mergeCell ref="B21:C21"/>
    <mergeCell ref="B26:C26"/>
  </mergeCells>
  <dataValidations count="1">
    <dataValidation type="list" allowBlank="1" showInputMessage="1" showErrorMessage="1" sqref="C6:C11" xr:uid="{B6271F42-0FD9-4C83-B6E3-C600D566C03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4F5F-C96E-42DD-A3C8-A9D4A1712283}">
  <dimension ref="A1:G49"/>
  <sheetViews>
    <sheetView zoomScale="130" zoomScaleNormal="130" workbookViewId="0">
      <pane xSplit="1" ySplit="5" topLeftCell="B31" activePane="bottomRight" state="frozen"/>
      <selection activeCell="B2" sqref="B2:C6"/>
      <selection pane="topRight" activeCell="B2" sqref="B2:C6"/>
      <selection pane="bottomLeft" activeCell="B2" sqref="B2:C6"/>
      <selection pane="bottomRight" activeCell="C42" sqref="C42"/>
    </sheetView>
  </sheetViews>
  <sheetFormatPr defaultRowHeight="14.4" x14ac:dyDescent="0.3"/>
  <cols>
    <col min="1" max="1" width="9.5546875" style="20" bestFit="1" customWidth="1"/>
    <col min="2" max="2" width="47.5546875" style="20" customWidth="1"/>
    <col min="3" max="3" width="28" style="20" customWidth="1"/>
    <col min="4" max="4" width="21.5546875" style="20" customWidth="1"/>
    <col min="5" max="5" width="25.5546875" style="20" customWidth="1"/>
    <col min="6" max="6" width="14" style="163" bestFit="1" customWidth="1"/>
    <col min="7" max="7" width="62.109375" customWidth="1"/>
  </cols>
  <sheetData>
    <row r="1" spans="1:6" x14ac:dyDescent="0.3">
      <c r="A1" s="21" t="s">
        <v>41</v>
      </c>
      <c r="B1" s="23" t="str">
        <f>Info!C2</f>
        <v>სს სილქ ბანკი</v>
      </c>
    </row>
    <row r="2" spans="1:6" s="21" customFormat="1" ht="15.75" customHeight="1" x14ac:dyDescent="0.3">
      <c r="A2" s="21" t="s">
        <v>42</v>
      </c>
      <c r="B2" s="24">
        <f>'1. key ratios'!B2</f>
        <v>45747</v>
      </c>
      <c r="F2" s="188"/>
    </row>
    <row r="3" spans="1:6" s="21" customFormat="1" ht="15.75" customHeight="1" x14ac:dyDescent="0.3">
      <c r="F3" s="188"/>
    </row>
    <row r="4" spans="1:6" s="21" customFormat="1" ht="40.5" customHeight="1" thickBot="1" x14ac:dyDescent="0.35">
      <c r="A4" s="189" t="s">
        <v>277</v>
      </c>
      <c r="B4" s="190" t="s">
        <v>18</v>
      </c>
      <c r="C4" s="191"/>
      <c r="D4" s="191"/>
      <c r="E4" s="192" t="s">
        <v>231</v>
      </c>
      <c r="F4" s="188"/>
    </row>
    <row r="5" spans="1:6" s="198" customFormat="1" ht="17.399999999999999" customHeight="1" x14ac:dyDescent="0.3">
      <c r="A5" s="193"/>
      <c r="B5" s="194"/>
      <c r="C5" s="195" t="s">
        <v>278</v>
      </c>
      <c r="D5" s="195" t="s">
        <v>279</v>
      </c>
      <c r="E5" s="196" t="s">
        <v>280</v>
      </c>
      <c r="F5" s="197"/>
    </row>
    <row r="6" spans="1:6" ht="14.4" customHeight="1" x14ac:dyDescent="0.3">
      <c r="A6" s="199"/>
      <c r="B6" s="844" t="s">
        <v>281</v>
      </c>
      <c r="C6" s="844" t="s">
        <v>282</v>
      </c>
      <c r="D6" s="845" t="s">
        <v>283</v>
      </c>
      <c r="E6" s="846"/>
    </row>
    <row r="7" spans="1:6" ht="92.4" customHeight="1" x14ac:dyDescent="0.3">
      <c r="A7" s="199"/>
      <c r="B7" s="844"/>
      <c r="C7" s="844"/>
      <c r="D7" s="201" t="s">
        <v>284</v>
      </c>
      <c r="E7" s="202" t="s">
        <v>285</v>
      </c>
    </row>
    <row r="8" spans="1:6" ht="22.5" customHeight="1" x14ac:dyDescent="0.3">
      <c r="A8" s="57">
        <v>1</v>
      </c>
      <c r="B8" s="66" t="s">
        <v>91</v>
      </c>
      <c r="C8" s="203">
        <f>SUM(C9:C11)</f>
        <v>30460113.880000032</v>
      </c>
      <c r="D8" s="203">
        <f>SUM(D9:D11)</f>
        <v>0</v>
      </c>
      <c r="E8" s="203">
        <f>SUM(E9:E11)</f>
        <v>30460113.880000032</v>
      </c>
      <c r="F8" s="204">
        <f>E8-'2. SOFP'!E7</f>
        <v>0</v>
      </c>
    </row>
    <row r="9" spans="1:6" x14ac:dyDescent="0.3">
      <c r="A9" s="57">
        <v>1.1000000000000001</v>
      </c>
      <c r="B9" s="69" t="s">
        <v>92</v>
      </c>
      <c r="C9" s="203">
        <f>'2. SOFP'!E8</f>
        <v>4442593.9499999983</v>
      </c>
      <c r="D9" s="203"/>
      <c r="E9" s="203">
        <f>C9-D9</f>
        <v>4442593.9499999983</v>
      </c>
    </row>
    <row r="10" spans="1:6" x14ac:dyDescent="0.3">
      <c r="A10" s="57">
        <v>1.2</v>
      </c>
      <c r="B10" s="69" t="s">
        <v>93</v>
      </c>
      <c r="C10" s="203">
        <f>'2. SOFP'!E9</f>
        <v>3819911.4400000335</v>
      </c>
      <c r="D10" s="203"/>
      <c r="E10" s="203">
        <f t="shared" ref="E10:E15" si="0">C10-D10</f>
        <v>3819911.4400000335</v>
      </c>
    </row>
    <row r="11" spans="1:6" x14ac:dyDescent="0.3">
      <c r="A11" s="57">
        <v>1.3</v>
      </c>
      <c r="B11" s="69" t="s">
        <v>94</v>
      </c>
      <c r="C11" s="203">
        <f>'2. SOFP'!E10</f>
        <v>22197608.489999998</v>
      </c>
      <c r="D11" s="203"/>
      <c r="E11" s="203">
        <f t="shared" si="0"/>
        <v>22197608.489999998</v>
      </c>
    </row>
    <row r="12" spans="1:6" x14ac:dyDescent="0.3">
      <c r="A12" s="57">
        <v>2</v>
      </c>
      <c r="B12" s="71" t="s">
        <v>95</v>
      </c>
      <c r="C12" s="203">
        <f>'2. SOFP'!E11</f>
        <v>150046.31047218281</v>
      </c>
      <c r="D12" s="203"/>
      <c r="E12" s="203">
        <f t="shared" si="0"/>
        <v>150046.31047218281</v>
      </c>
      <c r="F12" s="204">
        <f>E12-'2. SOFP'!E11</f>
        <v>0</v>
      </c>
    </row>
    <row r="13" spans="1:6" x14ac:dyDescent="0.3">
      <c r="A13" s="57">
        <v>2.1</v>
      </c>
      <c r="B13" s="72" t="s">
        <v>96</v>
      </c>
      <c r="C13" s="203">
        <f>'2. SOFP'!E12</f>
        <v>150046.31047218281</v>
      </c>
      <c r="D13" s="203"/>
      <c r="E13" s="203">
        <f t="shared" si="0"/>
        <v>150046.31047218281</v>
      </c>
    </row>
    <row r="14" spans="1:6" ht="33.9" customHeight="1" x14ac:dyDescent="0.3">
      <c r="A14" s="57">
        <v>3</v>
      </c>
      <c r="B14" s="73" t="s">
        <v>97</v>
      </c>
      <c r="C14" s="203">
        <f>'2. SOFP'!E13</f>
        <v>0</v>
      </c>
      <c r="D14" s="203"/>
      <c r="E14" s="203">
        <f t="shared" si="0"/>
        <v>0</v>
      </c>
    </row>
    <row r="15" spans="1:6" ht="32.4" customHeight="1" x14ac:dyDescent="0.3">
      <c r="A15" s="57">
        <v>4</v>
      </c>
      <c r="B15" s="74" t="s">
        <v>98</v>
      </c>
      <c r="C15" s="203">
        <f>'2. SOFP'!E14</f>
        <v>0</v>
      </c>
      <c r="D15" s="203"/>
      <c r="E15" s="203">
        <f t="shared" si="0"/>
        <v>0</v>
      </c>
    </row>
    <row r="16" spans="1:6" ht="23.1" customHeight="1" x14ac:dyDescent="0.3">
      <c r="A16" s="57">
        <v>5</v>
      </c>
      <c r="B16" s="74" t="s">
        <v>99</v>
      </c>
      <c r="C16" s="203">
        <f>SUM(C17:C19)</f>
        <v>20000</v>
      </c>
      <c r="D16" s="203">
        <f>SUM(D17:D19)</f>
        <v>0</v>
      </c>
      <c r="E16" s="203">
        <f>SUM(E17:E19)</f>
        <v>20000</v>
      </c>
      <c r="F16" s="204">
        <f>E16-'2. SOFP'!E15</f>
        <v>0</v>
      </c>
    </row>
    <row r="17" spans="1:6" x14ac:dyDescent="0.3">
      <c r="A17" s="57">
        <v>5.0999999999999996</v>
      </c>
      <c r="B17" s="77" t="s">
        <v>100</v>
      </c>
      <c r="C17" s="203">
        <f>'2. SOFP'!E16</f>
        <v>20000</v>
      </c>
      <c r="D17" s="203"/>
      <c r="E17" s="203">
        <f>C17-D17</f>
        <v>20000</v>
      </c>
    </row>
    <row r="18" spans="1:6" x14ac:dyDescent="0.3">
      <c r="A18" s="57">
        <v>5.2</v>
      </c>
      <c r="B18" s="77" t="s">
        <v>101</v>
      </c>
      <c r="C18" s="203">
        <f>'2. SOFP'!E17</f>
        <v>0</v>
      </c>
      <c r="D18" s="203"/>
      <c r="E18" s="203">
        <f>C18-D18</f>
        <v>0</v>
      </c>
    </row>
    <row r="19" spans="1:6" x14ac:dyDescent="0.3">
      <c r="A19" s="57">
        <v>5.3</v>
      </c>
      <c r="B19" s="77" t="s">
        <v>102</v>
      </c>
      <c r="C19" s="203">
        <f>'2. SOFP'!E18</f>
        <v>0</v>
      </c>
      <c r="D19" s="203"/>
      <c r="E19" s="203">
        <f>C19-D19</f>
        <v>0</v>
      </c>
    </row>
    <row r="20" spans="1:6" ht="20.399999999999999" x14ac:dyDescent="0.3">
      <c r="A20" s="57">
        <v>6</v>
      </c>
      <c r="B20" s="73" t="s">
        <v>103</v>
      </c>
      <c r="C20" s="203">
        <f>SUM(C21:C22)</f>
        <v>153936639.21293718</v>
      </c>
      <c r="D20" s="203">
        <f>SUM(D21:D22)</f>
        <v>0</v>
      </c>
      <c r="E20" s="203">
        <f>SUM(E21:E22)</f>
        <v>153936639.21293718</v>
      </c>
      <c r="F20" s="204">
        <f>E20-'2. SOFP'!E19</f>
        <v>0</v>
      </c>
    </row>
    <row r="21" spans="1:6" x14ac:dyDescent="0.3">
      <c r="A21" s="57">
        <v>6.1</v>
      </c>
      <c r="B21" s="77" t="s">
        <v>101</v>
      </c>
      <c r="C21" s="205">
        <f>'2. SOFP'!E20</f>
        <v>24301148.331410542</v>
      </c>
      <c r="D21" s="205"/>
      <c r="E21" s="205">
        <f>C21-D21</f>
        <v>24301148.331410542</v>
      </c>
    </row>
    <row r="22" spans="1:6" x14ac:dyDescent="0.3">
      <c r="A22" s="57">
        <v>6.2</v>
      </c>
      <c r="B22" s="206" t="s">
        <v>102</v>
      </c>
      <c r="C22" s="205">
        <f>'2. SOFP'!E21</f>
        <v>129635490.88152665</v>
      </c>
      <c r="D22" s="205"/>
      <c r="E22" s="205">
        <f>C22-D22</f>
        <v>129635490.88152665</v>
      </c>
    </row>
    <row r="23" spans="1:6" ht="20.399999999999999" x14ac:dyDescent="0.3">
      <c r="A23" s="57">
        <v>7</v>
      </c>
      <c r="B23" s="89" t="s">
        <v>104</v>
      </c>
      <c r="C23" s="205">
        <f>'2. SOFP'!E22</f>
        <v>0</v>
      </c>
      <c r="D23" s="205"/>
      <c r="E23" s="205">
        <f>C23-D23</f>
        <v>0</v>
      </c>
    </row>
    <row r="24" spans="1:6" ht="20.399999999999999" x14ac:dyDescent="0.3">
      <c r="A24" s="57">
        <v>8</v>
      </c>
      <c r="B24" s="79" t="s">
        <v>105</v>
      </c>
      <c r="C24" s="205">
        <f>'2. SOFP'!E23</f>
        <v>3482447.7104663118</v>
      </c>
      <c r="D24" s="205"/>
      <c r="E24" s="205">
        <f>C24-D24</f>
        <v>3482447.7104663118</v>
      </c>
      <c r="F24" s="204">
        <f>E24-'2. SOFP'!E23</f>
        <v>0</v>
      </c>
    </row>
    <row r="25" spans="1:6" x14ac:dyDescent="0.3">
      <c r="A25" s="57">
        <v>9</v>
      </c>
      <c r="B25" s="74" t="s">
        <v>106</v>
      </c>
      <c r="C25" s="205">
        <f>SUM(C26:C27)</f>
        <v>17965176.992951196</v>
      </c>
      <c r="D25" s="205">
        <f>SUM(D26:D27)</f>
        <v>0</v>
      </c>
      <c r="E25" s="205">
        <f>SUM(E26:E27)</f>
        <v>17965176.992951196</v>
      </c>
      <c r="F25" s="204">
        <f>E25-'2. SOFP'!E24</f>
        <v>0</v>
      </c>
    </row>
    <row r="26" spans="1:6" x14ac:dyDescent="0.3">
      <c r="A26" s="57">
        <v>9.1</v>
      </c>
      <c r="B26" s="80" t="s">
        <v>107</v>
      </c>
      <c r="C26" s="205">
        <f>'2. SOFP'!E25</f>
        <v>17965176.992951196</v>
      </c>
      <c r="D26" s="205"/>
      <c r="E26" s="205">
        <f>C26-D26</f>
        <v>17965176.992951196</v>
      </c>
    </row>
    <row r="27" spans="1:6" x14ac:dyDescent="0.3">
      <c r="A27" s="57">
        <v>9.1999999999999993</v>
      </c>
      <c r="B27" s="80" t="s">
        <v>108</v>
      </c>
      <c r="C27" s="205">
        <f>'2. SOFP'!E26</f>
        <v>0</v>
      </c>
      <c r="D27" s="205"/>
      <c r="E27" s="205">
        <f>C27-D27</f>
        <v>0</v>
      </c>
    </row>
    <row r="28" spans="1:6" x14ac:dyDescent="0.3">
      <c r="A28" s="57">
        <v>10</v>
      </c>
      <c r="B28" s="74" t="s">
        <v>109</v>
      </c>
      <c r="C28" s="205">
        <f>SUM(C29:C30)</f>
        <v>12826055.879999995</v>
      </c>
      <c r="D28" s="205">
        <f>SUM(D29:D30)</f>
        <v>12826055.879999995</v>
      </c>
      <c r="E28" s="205">
        <f>SUM(E29:E30)</f>
        <v>0</v>
      </c>
      <c r="F28" s="204">
        <f>C28-'2. SOFP'!E27</f>
        <v>0</v>
      </c>
    </row>
    <row r="29" spans="1:6" x14ac:dyDescent="0.3">
      <c r="A29" s="57">
        <v>10.1</v>
      </c>
      <c r="B29" s="80" t="s">
        <v>110</v>
      </c>
      <c r="C29" s="205">
        <f>'2. SOFP'!E28</f>
        <v>0</v>
      </c>
      <c r="D29" s="205"/>
      <c r="E29" s="205">
        <f>C29-D29</f>
        <v>0</v>
      </c>
    </row>
    <row r="30" spans="1:6" x14ac:dyDescent="0.3">
      <c r="A30" s="57">
        <v>10.199999999999999</v>
      </c>
      <c r="B30" s="80" t="s">
        <v>111</v>
      </c>
      <c r="C30" s="205">
        <f>'2. SOFP'!E29</f>
        <v>12826055.879999995</v>
      </c>
      <c r="D30" s="205">
        <f>C30</f>
        <v>12826055.879999995</v>
      </c>
      <c r="E30" s="205">
        <f>C30-D30</f>
        <v>0</v>
      </c>
    </row>
    <row r="31" spans="1:6" x14ac:dyDescent="0.3">
      <c r="A31" s="57">
        <v>11</v>
      </c>
      <c r="B31" s="74" t="s">
        <v>112</v>
      </c>
      <c r="C31" s="205">
        <f>SUM(C32:C33)</f>
        <v>1252718.6304127974</v>
      </c>
      <c r="D31" s="205">
        <f>SUM(D32:D33)</f>
        <v>1207470.1304127974</v>
      </c>
      <c r="E31" s="205">
        <f>SUM(E32:E33)</f>
        <v>45248.5</v>
      </c>
      <c r="F31" s="204">
        <f>C31-'2. SOFP'!E30</f>
        <v>0</v>
      </c>
    </row>
    <row r="32" spans="1:6" x14ac:dyDescent="0.3">
      <c r="A32" s="57">
        <v>11.1</v>
      </c>
      <c r="B32" s="80" t="s">
        <v>113</v>
      </c>
      <c r="C32" s="205">
        <f>'2. SOFP'!E31</f>
        <v>45248.5</v>
      </c>
      <c r="D32" s="205"/>
      <c r="E32" s="205">
        <f>C32-D32</f>
        <v>45248.5</v>
      </c>
    </row>
    <row r="33" spans="1:7" x14ac:dyDescent="0.3">
      <c r="A33" s="57">
        <v>11.2</v>
      </c>
      <c r="B33" s="80" t="s">
        <v>114</v>
      </c>
      <c r="C33" s="205">
        <f>'2. SOFP'!E32</f>
        <v>1207470.1304127974</v>
      </c>
      <c r="D33" s="205">
        <f>C33</f>
        <v>1207470.1304127974</v>
      </c>
      <c r="E33" s="205">
        <f>C33-D33</f>
        <v>0</v>
      </c>
    </row>
    <row r="34" spans="1:7" x14ac:dyDescent="0.3">
      <c r="A34" s="57">
        <v>13</v>
      </c>
      <c r="B34" s="74" t="s">
        <v>115</v>
      </c>
      <c r="C34" s="205">
        <f>'2. SOFP'!E33</f>
        <v>5754111.5686899982</v>
      </c>
      <c r="D34" s="205">
        <v>2530500</v>
      </c>
      <c r="E34" s="205">
        <f>C34-D34</f>
        <v>3223611.5686899982</v>
      </c>
      <c r="F34" s="204"/>
    </row>
    <row r="35" spans="1:7" x14ac:dyDescent="0.3">
      <c r="A35" s="57">
        <v>13.1</v>
      </c>
      <c r="B35" s="81" t="s">
        <v>116</v>
      </c>
      <c r="C35" s="205">
        <f>'2. SOFP'!E34</f>
        <v>0</v>
      </c>
      <c r="D35" s="205"/>
      <c r="E35" s="205">
        <f>C35-D35</f>
        <v>0</v>
      </c>
    </row>
    <row r="36" spans="1:7" x14ac:dyDescent="0.3">
      <c r="A36" s="57">
        <v>13.2</v>
      </c>
      <c r="B36" s="81" t="s">
        <v>117</v>
      </c>
      <c r="C36" s="205">
        <f>'2. SOFP'!E35</f>
        <v>0</v>
      </c>
      <c r="D36" s="205"/>
      <c r="E36" s="205">
        <f>C36-D36</f>
        <v>0</v>
      </c>
    </row>
    <row r="37" spans="1:7" ht="42" thickBot="1" x14ac:dyDescent="0.35">
      <c r="A37" s="207"/>
      <c r="B37" s="208" t="s">
        <v>286</v>
      </c>
      <c r="C37" s="796">
        <f>SUM(C8,C12,C14,C15,C16,C20,C23,C24,C25,C28,C31,C34)</f>
        <v>225847310.18592969</v>
      </c>
      <c r="D37" s="796">
        <f>SUM(D8,D12,D14,D15,D16,D20,D23,D24,D25,D28,D31,D34)</f>
        <v>16564026.010412794</v>
      </c>
      <c r="E37" s="796">
        <f>SUM(E8,E12,E14,E15,E16,E20,E23,E24,E25,E28,E31,E34)</f>
        <v>209283284.1755169</v>
      </c>
    </row>
    <row r="38" spans="1:7" x14ac:dyDescent="0.3">
      <c r="A38"/>
      <c r="B38"/>
      <c r="C38"/>
      <c r="D38"/>
      <c r="E38"/>
    </row>
    <row r="39" spans="1:7" s="20" customFormat="1" x14ac:dyDescent="0.3">
      <c r="B39" s="209"/>
      <c r="F39" s="163"/>
      <c r="G39"/>
    </row>
    <row r="40" spans="1:7" s="20" customFormat="1" x14ac:dyDescent="0.3">
      <c r="B40" s="209"/>
      <c r="F40" s="163"/>
      <c r="G40"/>
    </row>
    <row r="41" spans="1:7" s="20" customFormat="1" x14ac:dyDescent="0.3">
      <c r="B41" s="209"/>
      <c r="F41" s="163"/>
      <c r="G41"/>
    </row>
    <row r="42" spans="1:7" s="20" customFormat="1" x14ac:dyDescent="0.3">
      <c r="B42" s="209"/>
      <c r="F42" s="163"/>
      <c r="G42"/>
    </row>
    <row r="43" spans="1:7" s="20" customFormat="1" x14ac:dyDescent="0.3">
      <c r="B43" s="209"/>
      <c r="F43" s="163"/>
      <c r="G43"/>
    </row>
    <row r="44" spans="1:7" s="20" customFormat="1" x14ac:dyDescent="0.3">
      <c r="B44" s="210"/>
      <c r="F44" s="163"/>
      <c r="G44"/>
    </row>
    <row r="45" spans="1:7" s="20" customFormat="1" x14ac:dyDescent="0.3">
      <c r="B45" s="210"/>
      <c r="F45" s="163"/>
      <c r="G45"/>
    </row>
    <row r="46" spans="1:7" s="20" customFormat="1" x14ac:dyDescent="0.3">
      <c r="B46" s="210"/>
      <c r="F46" s="163"/>
      <c r="G46"/>
    </row>
    <row r="47" spans="1:7" s="20" customFormat="1" x14ac:dyDescent="0.3">
      <c r="B47" s="210"/>
      <c r="F47" s="163"/>
      <c r="G47"/>
    </row>
    <row r="48" spans="1:7" s="20" customFormat="1" x14ac:dyDescent="0.3">
      <c r="B48" s="210"/>
      <c r="F48" s="163"/>
      <c r="G48"/>
    </row>
    <row r="49" spans="2:7" s="20" customFormat="1" x14ac:dyDescent="0.3">
      <c r="B49" s="210"/>
      <c r="F49" s="163"/>
      <c r="G49"/>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AC7E-E773-4F6D-89D0-64E551B81180}">
  <dimension ref="A1:G28"/>
  <sheetViews>
    <sheetView zoomScale="130" zoomScaleNormal="130" workbookViewId="0">
      <pane xSplit="1" ySplit="4" topLeftCell="B5" activePane="bottomRight" state="frozen"/>
      <selection activeCell="B2" sqref="B2:C6"/>
      <selection pane="topRight" activeCell="B2" sqref="B2:C6"/>
      <selection pane="bottomLeft" activeCell="B2" sqref="B2:C6"/>
      <selection pane="bottomRight" activeCell="B5" sqref="B5:B13"/>
    </sheetView>
  </sheetViews>
  <sheetFormatPr defaultRowHeight="14.4" outlineLevelRow="1" x14ac:dyDescent="0.3"/>
  <cols>
    <col min="1" max="1" width="9.5546875" style="20" bestFit="1" customWidth="1"/>
    <col min="2" max="2" width="114.33203125" style="20" customWidth="1"/>
    <col min="3" max="3" width="18.88671875" customWidth="1"/>
    <col min="4" max="4" width="24" customWidth="1"/>
    <col min="5" max="5" width="62.109375" customWidth="1"/>
    <col min="6" max="6" width="12" bestFit="1" customWidth="1"/>
    <col min="7" max="7" width="12.5546875" bestFit="1" customWidth="1"/>
  </cols>
  <sheetData>
    <row r="1" spans="1:7" x14ac:dyDescent="0.3">
      <c r="A1" s="21" t="s">
        <v>41</v>
      </c>
      <c r="B1" s="23" t="str">
        <f>Info!C2</f>
        <v>სს სილქ ბანკი</v>
      </c>
    </row>
    <row r="2" spans="1:7" s="21" customFormat="1" ht="15.75" customHeight="1" x14ac:dyDescent="0.3">
      <c r="A2" s="21" t="s">
        <v>42</v>
      </c>
      <c r="B2" s="24">
        <f>'1. key ratios'!B2</f>
        <v>45747</v>
      </c>
      <c r="C2"/>
      <c r="D2"/>
    </row>
    <row r="3" spans="1:7" s="21" customFormat="1" ht="15.75" customHeight="1" x14ac:dyDescent="0.3">
      <c r="C3"/>
      <c r="D3"/>
    </row>
    <row r="4" spans="1:7" s="21" customFormat="1" ht="40.5" customHeight="1" thickBot="1" x14ac:dyDescent="0.35">
      <c r="A4" s="21" t="s">
        <v>287</v>
      </c>
      <c r="B4" s="211" t="s">
        <v>19</v>
      </c>
      <c r="C4" s="192" t="s">
        <v>231</v>
      </c>
      <c r="D4"/>
    </row>
    <row r="5" spans="1:7" ht="27.6" x14ac:dyDescent="0.3">
      <c r="A5" s="212">
        <v>1</v>
      </c>
      <c r="B5" s="213" t="s">
        <v>288</v>
      </c>
      <c r="C5" s="214">
        <f>'7. LI1'!E37</f>
        <v>209283284.1755169</v>
      </c>
    </row>
    <row r="6" spans="1:7" x14ac:dyDescent="0.3">
      <c r="A6" s="215">
        <v>2.1</v>
      </c>
      <c r="B6" s="216" t="s">
        <v>289</v>
      </c>
      <c r="C6" s="217">
        <v>23601734.677524239</v>
      </c>
    </row>
    <row r="7" spans="1:7" s="176" customFormat="1" ht="27.6" outlineLevel="1" x14ac:dyDescent="0.3">
      <c r="A7" s="218">
        <v>2.2000000000000002</v>
      </c>
      <c r="B7" s="219" t="s">
        <v>290</v>
      </c>
      <c r="C7" s="220">
        <f>'4. Off-balance'!E32+'4. Off-balance'!E31</f>
        <v>33207600</v>
      </c>
    </row>
    <row r="8" spans="1:7" s="176" customFormat="1" ht="27.6" x14ac:dyDescent="0.3">
      <c r="A8" s="218">
        <v>3</v>
      </c>
      <c r="B8" s="221" t="s">
        <v>291</v>
      </c>
      <c r="C8" s="222">
        <f>SUM(C5:C7)</f>
        <v>266092618.85304114</v>
      </c>
    </row>
    <row r="9" spans="1:7" x14ac:dyDescent="0.3">
      <c r="A9" s="215">
        <v>4</v>
      </c>
      <c r="B9" s="223" t="s">
        <v>292</v>
      </c>
      <c r="C9" s="224">
        <v>0</v>
      </c>
    </row>
    <row r="10" spans="1:7" s="176" customFormat="1" ht="27.6" outlineLevel="1" x14ac:dyDescent="0.3">
      <c r="A10" s="218">
        <v>5.0999999999999996</v>
      </c>
      <c r="B10" s="219" t="s">
        <v>293</v>
      </c>
      <c r="C10" s="220">
        <v>-17298137.037260909</v>
      </c>
    </row>
    <row r="11" spans="1:7" s="176" customFormat="1" ht="27.6" outlineLevel="1" x14ac:dyDescent="0.3">
      <c r="A11" s="218">
        <v>5.2</v>
      </c>
      <c r="B11" s="219" t="s">
        <v>294</v>
      </c>
      <c r="C11" s="220">
        <f>-C7+'5. RWA'!C10</f>
        <v>-32258335.340151466</v>
      </c>
    </row>
    <row r="12" spans="1:7" s="176" customFormat="1" x14ac:dyDescent="0.3">
      <c r="A12" s="218">
        <v>6</v>
      </c>
      <c r="B12" s="225" t="s">
        <v>1035</v>
      </c>
      <c r="C12" s="220"/>
    </row>
    <row r="13" spans="1:7" s="176" customFormat="1" ht="15" thickBot="1" x14ac:dyDescent="0.35">
      <c r="A13" s="226">
        <v>7</v>
      </c>
      <c r="B13" s="227" t="s">
        <v>295</v>
      </c>
      <c r="C13" s="228">
        <f>SUM(C8:C12)</f>
        <v>216536146.47562876</v>
      </c>
    </row>
    <row r="15" spans="1:7" s="20" customFormat="1" x14ac:dyDescent="0.3">
      <c r="B15" s="210"/>
      <c r="C15"/>
      <c r="D15"/>
      <c r="E15"/>
      <c r="F15"/>
      <c r="G15"/>
    </row>
    <row r="16" spans="1:7" s="20" customFormat="1" x14ac:dyDescent="0.3">
      <c r="B16" s="209"/>
      <c r="C16"/>
      <c r="D16"/>
      <c r="E16"/>
      <c r="F16"/>
      <c r="G16"/>
    </row>
    <row r="17" spans="2:7" s="20" customFormat="1" x14ac:dyDescent="0.3">
      <c r="B17" s="162"/>
      <c r="C17"/>
      <c r="D17"/>
      <c r="E17"/>
      <c r="F17"/>
      <c r="G17"/>
    </row>
    <row r="18" spans="2:7" s="20" customFormat="1" x14ac:dyDescent="0.3">
      <c r="B18" s="209"/>
      <c r="C18"/>
      <c r="D18"/>
      <c r="E18"/>
      <c r="F18"/>
      <c r="G18"/>
    </row>
    <row r="19" spans="2:7" s="20" customFormat="1" x14ac:dyDescent="0.3">
      <c r="B19" s="209"/>
      <c r="C19"/>
      <c r="D19"/>
      <c r="E19"/>
      <c r="F19"/>
      <c r="G19"/>
    </row>
    <row r="20" spans="2:7" s="20" customFormat="1" x14ac:dyDescent="0.3">
      <c r="B20" s="209"/>
      <c r="C20"/>
      <c r="D20"/>
      <c r="E20"/>
      <c r="F20"/>
      <c r="G20"/>
    </row>
    <row r="21" spans="2:7" s="20" customFormat="1" x14ac:dyDescent="0.3">
      <c r="B21" s="209"/>
      <c r="C21"/>
      <c r="D21"/>
      <c r="E21"/>
      <c r="F21"/>
      <c r="G21"/>
    </row>
    <row r="22" spans="2:7" s="20" customFormat="1" x14ac:dyDescent="0.3">
      <c r="B22" s="209"/>
      <c r="C22"/>
      <c r="D22"/>
      <c r="E22"/>
      <c r="F22"/>
      <c r="G22"/>
    </row>
    <row r="23" spans="2:7" s="20" customFormat="1" x14ac:dyDescent="0.3">
      <c r="B23" s="210"/>
      <c r="C23"/>
      <c r="D23"/>
      <c r="E23"/>
      <c r="F23"/>
      <c r="G23"/>
    </row>
    <row r="24" spans="2:7" s="20" customFormat="1" x14ac:dyDescent="0.3">
      <c r="B24" s="210"/>
      <c r="C24"/>
      <c r="D24"/>
      <c r="E24"/>
      <c r="F24"/>
      <c r="G24"/>
    </row>
    <row r="25" spans="2:7" s="20" customFormat="1" x14ac:dyDescent="0.3">
      <c r="B25" s="210"/>
      <c r="C25"/>
      <c r="D25"/>
      <c r="E25"/>
      <c r="F25"/>
      <c r="G25"/>
    </row>
    <row r="26" spans="2:7" s="20" customFormat="1" x14ac:dyDescent="0.3">
      <c r="B26" s="210"/>
      <c r="C26"/>
      <c r="D26"/>
      <c r="E26"/>
      <c r="F26"/>
      <c r="G26"/>
    </row>
    <row r="27" spans="2:7" s="20" customFormat="1" x14ac:dyDescent="0.3">
      <c r="B27" s="210"/>
      <c r="C27"/>
      <c r="D27"/>
      <c r="E27"/>
      <c r="F27"/>
      <c r="G27"/>
    </row>
    <row r="28" spans="2:7" s="20" customFormat="1" x14ac:dyDescent="0.3">
      <c r="B28" s="210"/>
      <c r="C28"/>
      <c r="D28"/>
      <c r="E28"/>
      <c r="F28"/>
      <c r="G2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BC6B-E96F-4676-BFE5-E67CA3A43A5F}">
  <dimension ref="A1:F58"/>
  <sheetViews>
    <sheetView zoomScale="130" zoomScaleNormal="130" workbookViewId="0">
      <pane xSplit="1" ySplit="5" topLeftCell="B38" activePane="bottomRight" state="frozen"/>
      <selection activeCell="B2" sqref="B2:C6"/>
      <selection pane="topRight" activeCell="B2" sqref="B2:C6"/>
      <selection pane="bottomLeft" activeCell="B2" sqref="B2:C6"/>
      <selection pane="bottomRight" activeCell="B45" sqref="B45"/>
    </sheetView>
  </sheetViews>
  <sheetFormatPr defaultRowHeight="14.4" x14ac:dyDescent="0.3"/>
  <cols>
    <col min="1" max="1" width="9.5546875" style="20" bestFit="1" customWidth="1"/>
    <col min="2" max="2" width="132.44140625" style="20" customWidth="1"/>
    <col min="3" max="3" width="18.44140625" style="20" customWidth="1"/>
    <col min="5" max="5" width="13.6640625" style="163" bestFit="1" customWidth="1"/>
    <col min="6" max="6" width="14.44140625" bestFit="1" customWidth="1"/>
    <col min="7" max="7" width="10" customWidth="1"/>
  </cols>
  <sheetData>
    <row r="1" spans="1:6" x14ac:dyDescent="0.3">
      <c r="A1" s="21" t="s">
        <v>41</v>
      </c>
      <c r="B1" s="23" t="str">
        <f>Info!C2</f>
        <v>სს სილქ ბანკი</v>
      </c>
      <c r="D1" s="20"/>
      <c r="E1" s="230"/>
      <c r="F1" s="20"/>
    </row>
    <row r="2" spans="1:6" s="21" customFormat="1" ht="15.75" customHeight="1" x14ac:dyDescent="0.3">
      <c r="A2" s="21" t="s">
        <v>42</v>
      </c>
      <c r="B2" s="24">
        <f>'1. key ratios'!B2</f>
        <v>45747</v>
      </c>
      <c r="E2" s="188"/>
    </row>
    <row r="3" spans="1:6" s="21" customFormat="1" ht="15.75" customHeight="1" x14ac:dyDescent="0.3">
      <c r="E3" s="188"/>
    </row>
    <row r="4" spans="1:6" ht="40.5" customHeight="1" thickBot="1" x14ac:dyDescent="0.35">
      <c r="A4" s="20" t="s">
        <v>300</v>
      </c>
      <c r="B4" s="231" t="s">
        <v>20</v>
      </c>
    </row>
    <row r="5" spans="1:6" x14ac:dyDescent="0.3">
      <c r="A5" s="232" t="s">
        <v>45</v>
      </c>
      <c r="B5" s="233"/>
      <c r="C5" s="234" t="s">
        <v>86</v>
      </c>
    </row>
    <row r="6" spans="1:6" x14ac:dyDescent="0.3">
      <c r="A6" s="235">
        <v>1</v>
      </c>
      <c r="B6" s="236" t="s">
        <v>301</v>
      </c>
      <c r="C6" s="237">
        <f>SUM(C7:C11)</f>
        <v>69267305.152019188</v>
      </c>
      <c r="E6" s="179"/>
      <c r="F6" s="163"/>
    </row>
    <row r="7" spans="1:6" x14ac:dyDescent="0.3">
      <c r="A7" s="235">
        <v>2</v>
      </c>
      <c r="B7" s="238" t="s">
        <v>302</v>
      </c>
      <c r="C7" s="239">
        <v>99215900</v>
      </c>
      <c r="E7" s="179"/>
    </row>
    <row r="8" spans="1:6" x14ac:dyDescent="0.3">
      <c r="A8" s="235">
        <v>3</v>
      </c>
      <c r="B8" s="240" t="s">
        <v>303</v>
      </c>
      <c r="C8" s="239"/>
      <c r="E8" s="179"/>
    </row>
    <row r="9" spans="1:6" x14ac:dyDescent="0.3">
      <c r="A9" s="235">
        <v>4</v>
      </c>
      <c r="B9" s="240" t="s">
        <v>304</v>
      </c>
      <c r="C9" s="239"/>
      <c r="E9" s="179"/>
    </row>
    <row r="10" spans="1:6" x14ac:dyDescent="0.3">
      <c r="A10" s="235">
        <v>5</v>
      </c>
      <c r="B10" s="240" t="s">
        <v>305</v>
      </c>
      <c r="C10" s="239">
        <v>3486012.7618743461</v>
      </c>
      <c r="E10" s="179"/>
    </row>
    <row r="11" spans="1:6" x14ac:dyDescent="0.3">
      <c r="A11" s="235">
        <v>6</v>
      </c>
      <c r="B11" s="241" t="s">
        <v>306</v>
      </c>
      <c r="C11" s="239">
        <v>-33434607.609855156</v>
      </c>
      <c r="E11" s="179"/>
    </row>
    <row r="12" spans="1:6" s="176" customFormat="1" x14ac:dyDescent="0.3">
      <c r="A12" s="235">
        <v>7</v>
      </c>
      <c r="B12" s="236" t="s">
        <v>307</v>
      </c>
      <c r="C12" s="242">
        <f>SUM(C13:C28)</f>
        <v>17519538.772287138</v>
      </c>
      <c r="E12" s="179"/>
    </row>
    <row r="13" spans="1:6" s="176" customFormat="1" x14ac:dyDescent="0.3">
      <c r="A13" s="235">
        <v>8</v>
      </c>
      <c r="B13" s="243" t="s">
        <v>308</v>
      </c>
      <c r="C13" s="244">
        <f>C10</f>
        <v>3486012.7618743461</v>
      </c>
      <c r="E13" s="179"/>
    </row>
    <row r="14" spans="1:6" s="176" customFormat="1" ht="27.6" x14ac:dyDescent="0.3">
      <c r="A14" s="235">
        <v>9</v>
      </c>
      <c r="B14" s="245" t="s">
        <v>309</v>
      </c>
      <c r="C14" s="244"/>
      <c r="E14" s="179"/>
    </row>
    <row r="15" spans="1:6" s="176" customFormat="1" x14ac:dyDescent="0.3">
      <c r="A15" s="235">
        <v>10</v>
      </c>
      <c r="B15" s="246" t="s">
        <v>109</v>
      </c>
      <c r="C15" s="244">
        <f>'7. LI1'!C28</f>
        <v>12826055.879999995</v>
      </c>
      <c r="E15" s="179"/>
    </row>
    <row r="16" spans="1:6" s="176" customFormat="1" x14ac:dyDescent="0.3">
      <c r="A16" s="235">
        <v>11</v>
      </c>
      <c r="B16" s="247" t="s">
        <v>310</v>
      </c>
      <c r="C16" s="244"/>
      <c r="E16" s="179"/>
    </row>
    <row r="17" spans="1:6" s="176" customFormat="1" x14ac:dyDescent="0.3">
      <c r="A17" s="235">
        <v>12</v>
      </c>
      <c r="B17" s="246" t="s">
        <v>311</v>
      </c>
      <c r="C17" s="244"/>
      <c r="E17" s="179"/>
    </row>
    <row r="18" spans="1:6" s="176" customFormat="1" x14ac:dyDescent="0.3">
      <c r="A18" s="235">
        <v>13</v>
      </c>
      <c r="B18" s="246" t="s">
        <v>312</v>
      </c>
      <c r="C18" s="244"/>
      <c r="E18" s="179"/>
    </row>
    <row r="19" spans="1:6" s="176" customFormat="1" x14ac:dyDescent="0.3">
      <c r="A19" s="235">
        <v>14</v>
      </c>
      <c r="B19" s="246" t="s">
        <v>313</v>
      </c>
      <c r="C19" s="244"/>
      <c r="E19" s="179"/>
    </row>
    <row r="20" spans="1:6" s="176" customFormat="1" ht="27.6" x14ac:dyDescent="0.3">
      <c r="A20" s="235">
        <v>15</v>
      </c>
      <c r="B20" s="246" t="s">
        <v>314</v>
      </c>
      <c r="C20" s="244">
        <f>'2. SOFP'!C32</f>
        <v>1207470.1304127974</v>
      </c>
      <c r="E20" s="179"/>
    </row>
    <row r="21" spans="1:6" s="176" customFormat="1" ht="27.6" x14ac:dyDescent="0.3">
      <c r="A21" s="235">
        <v>16</v>
      </c>
      <c r="B21" s="245" t="s">
        <v>315</v>
      </c>
      <c r="C21" s="244"/>
      <c r="E21" s="179"/>
    </row>
    <row r="22" spans="1:6" s="176" customFormat="1" x14ac:dyDescent="0.3">
      <c r="A22" s="235">
        <v>17</v>
      </c>
      <c r="B22" s="248" t="s">
        <v>316</v>
      </c>
      <c r="C22" s="244"/>
      <c r="E22" s="179"/>
    </row>
    <row r="23" spans="1:6" s="176" customFormat="1" x14ac:dyDescent="0.3">
      <c r="A23" s="235">
        <v>18</v>
      </c>
      <c r="B23" s="249" t="s">
        <v>317</v>
      </c>
      <c r="C23" s="244"/>
      <c r="E23" s="179"/>
    </row>
    <row r="24" spans="1:6" s="176" customFormat="1" ht="27.6" x14ac:dyDescent="0.3">
      <c r="A24" s="235">
        <v>19</v>
      </c>
      <c r="B24" s="245" t="s">
        <v>318</v>
      </c>
      <c r="C24" s="244"/>
      <c r="E24" s="179"/>
    </row>
    <row r="25" spans="1:6" s="176" customFormat="1" ht="27.6" x14ac:dyDescent="0.3">
      <c r="A25" s="235">
        <v>20</v>
      </c>
      <c r="B25" s="245" t="s">
        <v>319</v>
      </c>
      <c r="C25" s="244"/>
      <c r="E25" s="179"/>
    </row>
    <row r="26" spans="1:6" s="176" customFormat="1" ht="27.6" x14ac:dyDescent="0.3">
      <c r="A26" s="235">
        <v>21</v>
      </c>
      <c r="B26" s="247" t="s">
        <v>320</v>
      </c>
      <c r="C26" s="244"/>
      <c r="E26" s="179"/>
    </row>
    <row r="27" spans="1:6" s="176" customFormat="1" x14ac:dyDescent="0.3">
      <c r="A27" s="235">
        <v>22</v>
      </c>
      <c r="B27" s="247" t="s">
        <v>321</v>
      </c>
      <c r="C27" s="244"/>
      <c r="E27" s="179"/>
    </row>
    <row r="28" spans="1:6" s="176" customFormat="1" ht="27.6" x14ac:dyDescent="0.3">
      <c r="A28" s="235">
        <v>23</v>
      </c>
      <c r="B28" s="247" t="s">
        <v>322</v>
      </c>
      <c r="C28" s="244"/>
      <c r="E28" s="179"/>
    </row>
    <row r="29" spans="1:6" s="176" customFormat="1" x14ac:dyDescent="0.3">
      <c r="A29" s="235">
        <v>24</v>
      </c>
      <c r="B29" s="250" t="s">
        <v>48</v>
      </c>
      <c r="C29" s="242">
        <f>C6-C12</f>
        <v>51747766.37973205</v>
      </c>
      <c r="E29" s="179"/>
      <c r="F29" s="251"/>
    </row>
    <row r="30" spans="1:6" s="176" customFormat="1" x14ac:dyDescent="0.3">
      <c r="A30" s="252"/>
      <c r="B30" s="253"/>
      <c r="C30" s="244"/>
      <c r="E30" s="179"/>
    </row>
    <row r="31" spans="1:6" s="176" customFormat="1" x14ac:dyDescent="0.3">
      <c r="A31" s="252">
        <v>25</v>
      </c>
      <c r="B31" s="250" t="s">
        <v>323</v>
      </c>
      <c r="C31" s="242">
        <f>C32+C35</f>
        <v>0</v>
      </c>
      <c r="E31" s="179"/>
    </row>
    <row r="32" spans="1:6" s="176" customFormat="1" x14ac:dyDescent="0.3">
      <c r="A32" s="252">
        <v>26</v>
      </c>
      <c r="B32" s="240" t="s">
        <v>324</v>
      </c>
      <c r="C32" s="254"/>
      <c r="E32" s="179"/>
    </row>
    <row r="33" spans="1:5" s="176" customFormat="1" x14ac:dyDescent="0.3">
      <c r="A33" s="252">
        <v>27</v>
      </c>
      <c r="B33" s="255" t="s">
        <v>325</v>
      </c>
      <c r="C33" s="244"/>
      <c r="E33" s="179"/>
    </row>
    <row r="34" spans="1:5" s="176" customFormat="1" x14ac:dyDescent="0.3">
      <c r="A34" s="252">
        <v>28</v>
      </c>
      <c r="B34" s="255" t="s">
        <v>326</v>
      </c>
      <c r="C34" s="244"/>
      <c r="E34" s="179"/>
    </row>
    <row r="35" spans="1:5" s="176" customFormat="1" x14ac:dyDescent="0.3">
      <c r="A35" s="252">
        <v>29</v>
      </c>
      <c r="B35" s="240" t="s">
        <v>327</v>
      </c>
      <c r="C35" s="244"/>
      <c r="E35" s="179"/>
    </row>
    <row r="36" spans="1:5" s="176" customFormat="1" x14ac:dyDescent="0.3">
      <c r="A36" s="252">
        <v>30</v>
      </c>
      <c r="B36" s="250" t="s">
        <v>328</v>
      </c>
      <c r="C36" s="242">
        <f>SUM(C37:C41)</f>
        <v>0</v>
      </c>
      <c r="E36" s="179"/>
    </row>
    <row r="37" spans="1:5" s="176" customFormat="1" x14ac:dyDescent="0.3">
      <c r="A37" s="252">
        <v>31</v>
      </c>
      <c r="B37" s="245" t="s">
        <v>329</v>
      </c>
      <c r="C37" s="244"/>
      <c r="E37" s="179"/>
    </row>
    <row r="38" spans="1:5" s="176" customFormat="1" x14ac:dyDescent="0.3">
      <c r="A38" s="252">
        <v>32</v>
      </c>
      <c r="B38" s="246" t="s">
        <v>330</v>
      </c>
      <c r="C38" s="244"/>
      <c r="E38" s="179"/>
    </row>
    <row r="39" spans="1:5" s="176" customFormat="1" ht="27.6" x14ac:dyDescent="0.3">
      <c r="A39" s="252">
        <v>33</v>
      </c>
      <c r="B39" s="245" t="s">
        <v>331</v>
      </c>
      <c r="C39" s="244"/>
      <c r="E39" s="179"/>
    </row>
    <row r="40" spans="1:5" s="176" customFormat="1" ht="27.6" x14ac:dyDescent="0.3">
      <c r="A40" s="252">
        <v>34</v>
      </c>
      <c r="B40" s="245" t="s">
        <v>319</v>
      </c>
      <c r="C40" s="244"/>
      <c r="E40" s="179"/>
    </row>
    <row r="41" spans="1:5" s="176" customFormat="1" ht="27.6" x14ac:dyDescent="0.3">
      <c r="A41" s="252">
        <v>35</v>
      </c>
      <c r="B41" s="247" t="s">
        <v>332</v>
      </c>
      <c r="C41" s="244"/>
      <c r="E41" s="179"/>
    </row>
    <row r="42" spans="1:5" s="176" customFormat="1" x14ac:dyDescent="0.3">
      <c r="A42" s="252">
        <v>36</v>
      </c>
      <c r="B42" s="250" t="s">
        <v>333</v>
      </c>
      <c r="C42" s="242">
        <f>C31-C36</f>
        <v>0</v>
      </c>
      <c r="E42" s="179"/>
    </row>
    <row r="43" spans="1:5" s="176" customFormat="1" x14ac:dyDescent="0.3">
      <c r="A43" s="252"/>
      <c r="B43" s="253"/>
      <c r="C43" s="244"/>
      <c r="E43" s="179"/>
    </row>
    <row r="44" spans="1:5" s="176" customFormat="1" x14ac:dyDescent="0.3">
      <c r="A44" s="252">
        <v>37</v>
      </c>
      <c r="B44" s="256" t="s">
        <v>334</v>
      </c>
      <c r="C44" s="242">
        <f>SUM(C45:C47)</f>
        <v>3577565.4400000004</v>
      </c>
      <c r="E44" s="179"/>
    </row>
    <row r="45" spans="1:5" s="176" customFormat="1" x14ac:dyDescent="0.3">
      <c r="A45" s="252">
        <v>38</v>
      </c>
      <c r="B45" s="240" t="s">
        <v>335</v>
      </c>
      <c r="C45" s="244">
        <v>3577565.4400000004</v>
      </c>
      <c r="E45" s="179"/>
    </row>
    <row r="46" spans="1:5" s="176" customFormat="1" x14ac:dyDescent="0.3">
      <c r="A46" s="252">
        <v>39</v>
      </c>
      <c r="B46" s="240" t="s">
        <v>336</v>
      </c>
      <c r="C46" s="244"/>
      <c r="E46" s="179"/>
    </row>
    <row r="47" spans="1:5" s="176" customFormat="1" x14ac:dyDescent="0.3">
      <c r="A47" s="252">
        <v>40</v>
      </c>
      <c r="B47" s="772" t="s">
        <v>337</v>
      </c>
      <c r="C47" s="244"/>
      <c r="E47" s="179"/>
    </row>
    <row r="48" spans="1:5" s="176" customFormat="1" x14ac:dyDescent="0.3">
      <c r="A48" s="252">
        <v>41</v>
      </c>
      <c r="B48" s="256" t="s">
        <v>338</v>
      </c>
      <c r="C48" s="242">
        <f>SUM(C49:C52)</f>
        <v>0</v>
      </c>
      <c r="E48" s="179"/>
    </row>
    <row r="49" spans="1:5" s="176" customFormat="1" x14ac:dyDescent="0.3">
      <c r="A49" s="252">
        <v>42</v>
      </c>
      <c r="B49" s="245" t="s">
        <v>339</v>
      </c>
      <c r="C49" s="244"/>
      <c r="E49" s="179"/>
    </row>
    <row r="50" spans="1:5" s="176" customFormat="1" x14ac:dyDescent="0.3">
      <c r="A50" s="252">
        <v>43</v>
      </c>
      <c r="B50" s="246" t="s">
        <v>340</v>
      </c>
      <c r="C50" s="244"/>
      <c r="E50" s="179"/>
    </row>
    <row r="51" spans="1:5" s="176" customFormat="1" ht="27.6" x14ac:dyDescent="0.3">
      <c r="A51" s="252">
        <v>44</v>
      </c>
      <c r="B51" s="245" t="s">
        <v>341</v>
      </c>
      <c r="C51" s="244"/>
      <c r="E51" s="179"/>
    </row>
    <row r="52" spans="1:5" s="176" customFormat="1" ht="27.6" x14ac:dyDescent="0.3">
      <c r="A52" s="252">
        <v>45</v>
      </c>
      <c r="B52" s="245" t="s">
        <v>319</v>
      </c>
      <c r="C52" s="244"/>
      <c r="E52" s="179"/>
    </row>
    <row r="53" spans="1:5" s="176" customFormat="1" ht="15" thickBot="1" x14ac:dyDescent="0.35">
      <c r="A53" s="252">
        <v>46</v>
      </c>
      <c r="B53" s="257" t="s">
        <v>342</v>
      </c>
      <c r="C53" s="258">
        <f>C44-C48</f>
        <v>3577565.4400000004</v>
      </c>
      <c r="E53" s="179"/>
    </row>
    <row r="55" spans="1:5" x14ac:dyDescent="0.3">
      <c r="C55" s="259"/>
    </row>
    <row r="56" spans="1:5" x14ac:dyDescent="0.3">
      <c r="B56" s="20" t="s">
        <v>343</v>
      </c>
      <c r="C56" s="260"/>
    </row>
    <row r="57" spans="1:5" x14ac:dyDescent="0.3">
      <c r="C57" s="260"/>
    </row>
    <row r="58" spans="1:5" x14ac:dyDescent="0.3">
      <c r="C58" s="261"/>
    </row>
  </sheetData>
  <dataValidations count="1">
    <dataValidation operator="lessThanOrEqual" allowBlank="1" showInputMessage="1" showErrorMessage="1" errorTitle="Should be negative number" error="Should be whole negative number or 0" sqref="C13:C53" xr:uid="{F1914A29-8CBD-4F4F-B7D7-050C3796E84C}"/>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A106-FBF0-474C-B7EF-774164BFB542}">
  <dimension ref="A1:D23"/>
  <sheetViews>
    <sheetView topLeftCell="B7" zoomScale="145" zoomScaleNormal="145" workbookViewId="0">
      <selection activeCell="F12" sqref="F12"/>
    </sheetView>
  </sheetViews>
  <sheetFormatPr defaultColWidth="9.109375" defaultRowHeight="13.8" x14ac:dyDescent="0.3"/>
  <cols>
    <col min="1" max="1" width="10.88671875" style="20" bestFit="1" customWidth="1"/>
    <col min="2" max="2" width="59" style="20" customWidth="1"/>
    <col min="3" max="3" width="16.6640625" style="20" bestFit="1" customWidth="1"/>
    <col min="4" max="4" width="22.109375" style="20" customWidth="1"/>
    <col min="5" max="16384" width="9.109375" style="20"/>
  </cols>
  <sheetData>
    <row r="1" spans="1:4" x14ac:dyDescent="0.3">
      <c r="A1" s="21" t="s">
        <v>41</v>
      </c>
      <c r="B1" s="23" t="str">
        <f>Info!C2</f>
        <v>სს სილქ ბანკი</v>
      </c>
    </row>
    <row r="2" spans="1:4" s="21" customFormat="1" ht="15.75" customHeight="1" x14ac:dyDescent="0.3">
      <c r="A2" s="21" t="s">
        <v>42</v>
      </c>
      <c r="B2" s="24">
        <f>'1. key ratios'!B2</f>
        <v>45747</v>
      </c>
    </row>
    <row r="3" spans="1:4" s="21" customFormat="1" ht="15.75" customHeight="1" x14ac:dyDescent="0.3"/>
    <row r="4" spans="1:4" ht="40.5" customHeight="1" thickBot="1" x14ac:dyDescent="0.35">
      <c r="A4" s="20" t="s">
        <v>344</v>
      </c>
      <c r="B4" s="262" t="s">
        <v>22</v>
      </c>
    </row>
    <row r="5" spans="1:4" s="265" customFormat="1" x14ac:dyDescent="0.3">
      <c r="A5" s="847" t="s">
        <v>345</v>
      </c>
      <c r="B5" s="848"/>
      <c r="C5" s="263" t="s">
        <v>346</v>
      </c>
      <c r="D5" s="264" t="s">
        <v>347</v>
      </c>
    </row>
    <row r="6" spans="1:4" s="269" customFormat="1" x14ac:dyDescent="0.3">
      <c r="A6" s="266">
        <v>1</v>
      </c>
      <c r="B6" s="267" t="s">
        <v>348</v>
      </c>
      <c r="C6" s="267"/>
      <c r="D6" s="268"/>
    </row>
    <row r="7" spans="1:4" s="269" customFormat="1" x14ac:dyDescent="0.3">
      <c r="A7" s="270" t="s">
        <v>349</v>
      </c>
      <c r="B7" s="271" t="s">
        <v>350</v>
      </c>
      <c r="C7" s="272">
        <v>4.4999999999999998E-2</v>
      </c>
      <c r="D7" s="273">
        <f>C7*'5. RWA'!$C$13</f>
        <v>8087597.498842502</v>
      </c>
    </row>
    <row r="8" spans="1:4" s="269" customFormat="1" x14ac:dyDescent="0.3">
      <c r="A8" s="270" t="s">
        <v>351</v>
      </c>
      <c r="B8" s="271" t="s">
        <v>352</v>
      </c>
      <c r="C8" s="272">
        <v>0.06</v>
      </c>
      <c r="D8" s="273">
        <f>C8*'5. RWA'!$C$13</f>
        <v>10783463.331790002</v>
      </c>
    </row>
    <row r="9" spans="1:4" s="269" customFormat="1" x14ac:dyDescent="0.3">
      <c r="A9" s="270" t="s">
        <v>353</v>
      </c>
      <c r="B9" s="271" t="s">
        <v>354</v>
      </c>
      <c r="C9" s="272">
        <v>0.08</v>
      </c>
      <c r="D9" s="273">
        <f>C9*'5. RWA'!$C$13</f>
        <v>14377951.109053338</v>
      </c>
    </row>
    <row r="10" spans="1:4" s="269" customFormat="1" x14ac:dyDescent="0.3">
      <c r="A10" s="266" t="s">
        <v>355</v>
      </c>
      <c r="B10" s="267" t="s">
        <v>356</v>
      </c>
      <c r="C10" s="274">
        <f>C11+C12+C13</f>
        <v>3.0000000000000002E-2</v>
      </c>
      <c r="D10" s="797">
        <f>D11+D12+D13</f>
        <v>5391731.665895002</v>
      </c>
    </row>
    <row r="11" spans="1:4" s="279" customFormat="1" x14ac:dyDescent="0.3">
      <c r="A11" s="275" t="s">
        <v>357</v>
      </c>
      <c r="B11" s="276" t="s">
        <v>358</v>
      </c>
      <c r="C11" s="277">
        <v>2.5000000000000001E-2</v>
      </c>
      <c r="D11" s="278">
        <f>C11*'5. RWA'!$C$13</f>
        <v>4493109.721579168</v>
      </c>
    </row>
    <row r="12" spans="1:4" s="279" customFormat="1" x14ac:dyDescent="0.3">
      <c r="A12" s="275" t="s">
        <v>359</v>
      </c>
      <c r="B12" s="276" t="s">
        <v>360</v>
      </c>
      <c r="C12" s="277">
        <v>5.0000000000000001E-3</v>
      </c>
      <c r="D12" s="278">
        <f>C12*'5. RWA'!$C$13</f>
        <v>898621.94431583362</v>
      </c>
    </row>
    <row r="13" spans="1:4" s="279" customFormat="1" x14ac:dyDescent="0.3">
      <c r="A13" s="275" t="s">
        <v>361</v>
      </c>
      <c r="B13" s="276" t="s">
        <v>362</v>
      </c>
      <c r="C13" s="277">
        <v>0</v>
      </c>
      <c r="D13" s="278">
        <f>C13*'5. RWA'!$C$13</f>
        <v>0</v>
      </c>
    </row>
    <row r="14" spans="1:4" s="269" customFormat="1" x14ac:dyDescent="0.3">
      <c r="A14" s="266" t="s">
        <v>363</v>
      </c>
      <c r="B14" s="267" t="s">
        <v>364</v>
      </c>
      <c r="C14" s="280">
        <f>SUM(C15:C17)</f>
        <v>0.30442248022754631</v>
      </c>
      <c r="D14" s="741">
        <f>SUM(D15:D17)</f>
        <v>54712144.215105213</v>
      </c>
    </row>
    <row r="15" spans="1:4" s="269" customFormat="1" x14ac:dyDescent="0.3">
      <c r="A15" s="281" t="s">
        <v>365</v>
      </c>
      <c r="B15" s="276" t="s">
        <v>366</v>
      </c>
      <c r="C15" s="277">
        <v>8.0142560330436152E-2</v>
      </c>
      <c r="D15" s="278">
        <f>C15*'5. RWA'!$C$13</f>
        <v>14403572.677317105</v>
      </c>
    </row>
    <row r="16" spans="1:4" s="269" customFormat="1" x14ac:dyDescent="0.3">
      <c r="A16" s="281" t="s">
        <v>367</v>
      </c>
      <c r="B16" s="276" t="s">
        <v>368</v>
      </c>
      <c r="C16" s="277">
        <v>9.9442579147714233E-2</v>
      </c>
      <c r="D16" s="278">
        <f>C16*'5. RWA'!$C$13</f>
        <v>17872256.764300026</v>
      </c>
    </row>
    <row r="17" spans="1:4" s="269" customFormat="1" x14ac:dyDescent="0.3">
      <c r="A17" s="281" t="s">
        <v>369</v>
      </c>
      <c r="B17" s="276" t="s">
        <v>370</v>
      </c>
      <c r="C17" s="277">
        <v>0.12483734074939593</v>
      </c>
      <c r="D17" s="278">
        <f>C17*'5. RWA'!$C$13</f>
        <v>22436314.773488082</v>
      </c>
    </row>
    <row r="18" spans="1:4" s="265" customFormat="1" x14ac:dyDescent="0.3">
      <c r="A18" s="849" t="s">
        <v>371</v>
      </c>
      <c r="B18" s="850"/>
      <c r="C18" s="282" t="s">
        <v>346</v>
      </c>
      <c r="D18" s="798" t="s">
        <v>347</v>
      </c>
    </row>
    <row r="19" spans="1:4" s="269" customFormat="1" x14ac:dyDescent="0.3">
      <c r="A19" s="283">
        <v>4</v>
      </c>
      <c r="B19" s="276" t="s">
        <v>48</v>
      </c>
      <c r="C19" s="277">
        <f>C7+C11+C12+C13+C15</f>
        <v>0.15514256033043616</v>
      </c>
      <c r="D19" s="273">
        <f>C19*'5. RWA'!$C$13</f>
        <v>27882901.842054613</v>
      </c>
    </row>
    <row r="20" spans="1:4" s="269" customFormat="1" x14ac:dyDescent="0.3">
      <c r="A20" s="283">
        <v>5</v>
      </c>
      <c r="B20" s="276" t="s">
        <v>49</v>
      </c>
      <c r="C20" s="277">
        <f>C8+C11+C12+C13+C16</f>
        <v>0.18944257914771423</v>
      </c>
      <c r="D20" s="273">
        <f>C20*'5. RWA'!$C$13</f>
        <v>34047451.761985034</v>
      </c>
    </row>
    <row r="21" spans="1:4" s="269" customFormat="1" ht="14.4" thickBot="1" x14ac:dyDescent="0.35">
      <c r="A21" s="284" t="s">
        <v>372</v>
      </c>
      <c r="B21" s="285" t="s">
        <v>20</v>
      </c>
      <c r="C21" s="286">
        <f>C9+C11+C12+C13+C17</f>
        <v>0.23483734074939594</v>
      </c>
      <c r="D21" s="287">
        <f>C21*'5. RWA'!$C$13</f>
        <v>42205997.548436426</v>
      </c>
    </row>
    <row r="22" spans="1:4" x14ac:dyDescent="0.3">
      <c r="B22" s="162"/>
    </row>
    <row r="23" spans="1:4" x14ac:dyDescent="0.3">
      <c r="B23" s="53"/>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D8ED-9356-4E46-90CF-1D3659ED27AB}">
  <dimension ref="A1:E27"/>
  <sheetViews>
    <sheetView showGridLines="0" topLeftCell="A12" zoomScaleNormal="100" workbookViewId="0">
      <selection activeCell="C10" sqref="C10"/>
    </sheetView>
  </sheetViews>
  <sheetFormatPr defaultRowHeight="14.4" x14ac:dyDescent="0.3"/>
  <cols>
    <col min="1" max="1" width="107.109375" bestFit="1" customWidth="1"/>
    <col min="2" max="2" width="50.88671875" bestFit="1" customWidth="1"/>
    <col min="3" max="3" width="28.109375" bestFit="1" customWidth="1"/>
    <col min="4" max="4" width="28.21875" customWidth="1"/>
    <col min="5" max="7" width="28.109375" customWidth="1"/>
  </cols>
  <sheetData>
    <row r="1" spans="1:2" x14ac:dyDescent="0.3">
      <c r="A1" s="288" t="s">
        <v>41</v>
      </c>
      <c r="B1" s="23" t="s">
        <v>2</v>
      </c>
    </row>
    <row r="2" spans="1:2" x14ac:dyDescent="0.3">
      <c r="A2" s="288" t="s">
        <v>42</v>
      </c>
      <c r="B2" s="289">
        <v>45747</v>
      </c>
    </row>
    <row r="3" spans="1:2" x14ac:dyDescent="0.3">
      <c r="A3" s="290" t="s">
        <v>373</v>
      </c>
      <c r="B3" s="291" t="s">
        <v>374</v>
      </c>
    </row>
    <row r="4" spans="1:2" ht="15" thickBot="1" x14ac:dyDescent="0.35"/>
    <row r="5" spans="1:2" x14ac:dyDescent="0.3">
      <c r="A5" s="292"/>
      <c r="B5" s="293" t="s">
        <v>375</v>
      </c>
    </row>
    <row r="6" spans="1:2" x14ac:dyDescent="0.3">
      <c r="A6" s="294" t="s">
        <v>376</v>
      </c>
      <c r="B6" s="295">
        <f>SUM(B7,B11)</f>
        <v>0</v>
      </c>
    </row>
    <row r="7" spans="1:2" ht="15.6" x14ac:dyDescent="0.3">
      <c r="A7" s="294" t="s">
        <v>377</v>
      </c>
      <c r="B7" s="295">
        <f>SUM(B8:B10)</f>
        <v>0</v>
      </c>
    </row>
    <row r="8" spans="1:2" x14ac:dyDescent="0.3">
      <c r="A8" s="296" t="s">
        <v>378</v>
      </c>
      <c r="B8" s="297">
        <v>0</v>
      </c>
    </row>
    <row r="9" spans="1:2" x14ac:dyDescent="0.3">
      <c r="A9" s="296" t="s">
        <v>379</v>
      </c>
      <c r="B9" s="297">
        <v>0</v>
      </c>
    </row>
    <row r="10" spans="1:2" x14ac:dyDescent="0.3">
      <c r="A10" s="296" t="s">
        <v>380</v>
      </c>
      <c r="B10" s="297">
        <v>0</v>
      </c>
    </row>
    <row r="11" spans="1:2" x14ac:dyDescent="0.3">
      <c r="A11" s="294" t="s">
        <v>381</v>
      </c>
      <c r="B11" s="295">
        <f>SUM(B12:B13)</f>
        <v>0</v>
      </c>
    </row>
    <row r="12" spans="1:2" ht="15.6" x14ac:dyDescent="0.3">
      <c r="A12" s="296" t="s">
        <v>382</v>
      </c>
      <c r="B12" s="297"/>
    </row>
    <row r="13" spans="1:2" ht="15.6" x14ac:dyDescent="0.3">
      <c r="A13" s="296" t="s">
        <v>383</v>
      </c>
      <c r="B13" s="297"/>
    </row>
    <row r="14" spans="1:2" x14ac:dyDescent="0.3">
      <c r="A14" s="294" t="s">
        <v>384</v>
      </c>
      <c r="B14" s="295">
        <f>SUM(B15:B16)</f>
        <v>0</v>
      </c>
    </row>
    <row r="15" spans="1:2" x14ac:dyDescent="0.3">
      <c r="A15" s="298" t="s">
        <v>385</v>
      </c>
      <c r="B15" s="297"/>
    </row>
    <row r="16" spans="1:2" x14ac:dyDescent="0.3">
      <c r="A16" s="298" t="s">
        <v>20</v>
      </c>
      <c r="B16" s="297">
        <f>B7</f>
        <v>0</v>
      </c>
    </row>
    <row r="17" spans="1:5" x14ac:dyDescent="0.3">
      <c r="A17" s="294" t="s">
        <v>386</v>
      </c>
      <c r="B17" s="295"/>
    </row>
    <row r="18" spans="1:5" x14ac:dyDescent="0.3">
      <c r="A18" s="298" t="s">
        <v>387</v>
      </c>
      <c r="B18" s="297">
        <v>0</v>
      </c>
    </row>
    <row r="19" spans="1:5" x14ac:dyDescent="0.3">
      <c r="A19" s="298" t="s">
        <v>388</v>
      </c>
      <c r="B19" s="297">
        <v>0</v>
      </c>
    </row>
    <row r="20" spans="1:5" x14ac:dyDescent="0.3">
      <c r="A20" s="294" t="s">
        <v>389</v>
      </c>
      <c r="B20" s="295"/>
    </row>
    <row r="21" spans="1:5" x14ac:dyDescent="0.3">
      <c r="A21" s="299" t="s">
        <v>390</v>
      </c>
      <c r="B21" s="300">
        <f>IFERROR(B6/B18,0)</f>
        <v>0</v>
      </c>
    </row>
    <row r="22" spans="1:5" x14ac:dyDescent="0.3">
      <c r="A22" s="299" t="s">
        <v>391</v>
      </c>
      <c r="B22" s="300">
        <f>IFERROR(B6/B19,0)</f>
        <v>0</v>
      </c>
    </row>
    <row r="23" spans="1:5" ht="15" thickBot="1" x14ac:dyDescent="0.35">
      <c r="A23" s="301" t="s">
        <v>392</v>
      </c>
      <c r="B23" s="302">
        <f>IFERROR(B6/B14,0)</f>
        <v>0</v>
      </c>
    </row>
    <row r="24" spans="1:5" ht="16.5" customHeight="1" x14ac:dyDescent="0.3">
      <c r="A24" s="303" t="s">
        <v>393</v>
      </c>
      <c r="B24" s="304"/>
      <c r="C24" s="304"/>
      <c r="D24" s="304"/>
      <c r="E24" s="304"/>
    </row>
    <row r="25" spans="1:5" ht="25.5" customHeight="1" x14ac:dyDescent="0.3">
      <c r="A25" s="303" t="s">
        <v>394</v>
      </c>
    </row>
    <row r="26" spans="1:5" ht="57" customHeight="1" x14ac:dyDescent="0.3">
      <c r="A26" s="303" t="s">
        <v>395</v>
      </c>
    </row>
    <row r="27" spans="1:5" x14ac:dyDescent="0.3">
      <c r="A27" s="305"/>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F502-D756-4E73-85C4-F55A66A88AE3}">
  <dimension ref="A1:F20"/>
  <sheetViews>
    <sheetView showGridLines="0" zoomScaleNormal="100" workbookViewId="0">
      <selection activeCell="C23" sqref="C23"/>
    </sheetView>
  </sheetViews>
  <sheetFormatPr defaultRowHeight="14.4" x14ac:dyDescent="0.3"/>
  <cols>
    <col min="1" max="1" width="82" customWidth="1"/>
    <col min="2" max="2" width="28.109375" bestFit="1" customWidth="1"/>
    <col min="3" max="3" width="28.21875" customWidth="1"/>
    <col min="4" max="6" width="28.109375" customWidth="1"/>
  </cols>
  <sheetData>
    <row r="1" spans="1:6" x14ac:dyDescent="0.3">
      <c r="A1" s="288" t="s">
        <v>41</v>
      </c>
      <c r="B1" s="23" t="s">
        <v>2</v>
      </c>
      <c r="C1" s="20"/>
    </row>
    <row r="2" spans="1:6" x14ac:dyDescent="0.3">
      <c r="A2" s="288" t="s">
        <v>42</v>
      </c>
      <c r="B2" s="24">
        <v>45747</v>
      </c>
      <c r="C2" s="20"/>
    </row>
    <row r="3" spans="1:6" x14ac:dyDescent="0.3">
      <c r="A3" s="290" t="s">
        <v>396</v>
      </c>
      <c r="B3" s="291" t="s">
        <v>374</v>
      </c>
      <c r="C3" s="20"/>
    </row>
    <row r="5" spans="1:6" x14ac:dyDescent="0.3">
      <c r="A5" s="305"/>
    </row>
    <row r="6" spans="1:6" ht="15" thickBot="1" x14ac:dyDescent="0.35">
      <c r="A6" s="306"/>
      <c r="B6" s="306"/>
      <c r="C6" s="306"/>
      <c r="D6" s="306"/>
      <c r="E6" s="306"/>
      <c r="F6" s="306"/>
    </row>
    <row r="7" spans="1:6" x14ac:dyDescent="0.3">
      <c r="A7" s="851"/>
      <c r="B7" s="853" t="s">
        <v>397</v>
      </c>
      <c r="C7" s="853"/>
      <c r="D7" s="853"/>
      <c r="E7" s="853"/>
      <c r="F7" s="854" t="s">
        <v>398</v>
      </c>
    </row>
    <row r="8" spans="1:6" ht="27.6" x14ac:dyDescent="0.3">
      <c r="A8" s="852"/>
      <c r="B8" s="307" t="s">
        <v>399</v>
      </c>
      <c r="C8" s="307" t="s">
        <v>400</v>
      </c>
      <c r="D8" s="307" t="s">
        <v>401</v>
      </c>
      <c r="E8" s="307" t="s">
        <v>402</v>
      </c>
      <c r="F8" s="855"/>
    </row>
    <row r="9" spans="1:6" ht="27.6" x14ac:dyDescent="0.3">
      <c r="A9" s="308" t="s">
        <v>403</v>
      </c>
      <c r="B9" s="309">
        <f>B13+B17</f>
        <v>0</v>
      </c>
      <c r="C9" s="309">
        <f t="shared" ref="C9:E9" si="0">C13+C17</f>
        <v>0</v>
      </c>
      <c r="D9" s="309">
        <f t="shared" si="0"/>
        <v>0</v>
      </c>
      <c r="E9" s="309">
        <f t="shared" si="0"/>
        <v>0</v>
      </c>
      <c r="F9" s="310">
        <f>F13+F17</f>
        <v>0</v>
      </c>
    </row>
    <row r="10" spans="1:6" x14ac:dyDescent="0.3">
      <c r="A10" s="311" t="s">
        <v>404</v>
      </c>
      <c r="B10" s="312">
        <f t="shared" ref="B10:E12" si="1">B14+B18</f>
        <v>0</v>
      </c>
      <c r="C10" s="312">
        <f t="shared" si="1"/>
        <v>0</v>
      </c>
      <c r="D10" s="312">
        <f t="shared" si="1"/>
        <v>0</v>
      </c>
      <c r="E10" s="312">
        <f t="shared" si="1"/>
        <v>0</v>
      </c>
      <c r="F10" s="310">
        <f>SUM(B10:E10)</f>
        <v>0</v>
      </c>
    </row>
    <row r="11" spans="1:6" x14ac:dyDescent="0.3">
      <c r="A11" s="311" t="s">
        <v>405</v>
      </c>
      <c r="B11" s="312">
        <f t="shared" si="1"/>
        <v>0</v>
      </c>
      <c r="C11" s="312">
        <f t="shared" si="1"/>
        <v>0</v>
      </c>
      <c r="D11" s="312">
        <f t="shared" si="1"/>
        <v>0</v>
      </c>
      <c r="E11" s="312">
        <f t="shared" si="1"/>
        <v>0</v>
      </c>
      <c r="F11" s="310">
        <f t="shared" ref="F11:F12" si="2">SUM(B11:E11)</f>
        <v>0</v>
      </c>
    </row>
    <row r="12" spans="1:6" x14ac:dyDescent="0.3">
      <c r="A12" s="313" t="s">
        <v>406</v>
      </c>
      <c r="B12" s="312">
        <f t="shared" si="1"/>
        <v>0</v>
      </c>
      <c r="C12" s="312">
        <f t="shared" si="1"/>
        <v>0</v>
      </c>
      <c r="D12" s="312">
        <f t="shared" si="1"/>
        <v>0</v>
      </c>
      <c r="E12" s="312">
        <f t="shared" si="1"/>
        <v>0</v>
      </c>
      <c r="F12" s="310">
        <f t="shared" si="2"/>
        <v>0</v>
      </c>
    </row>
    <row r="13" spans="1:6" x14ac:dyDescent="0.3">
      <c r="A13" s="314" t="s">
        <v>407</v>
      </c>
      <c r="B13" s="315"/>
      <c r="C13" s="315"/>
      <c r="D13" s="315"/>
      <c r="E13" s="315"/>
      <c r="F13" s="316"/>
    </row>
    <row r="14" spans="1:6" x14ac:dyDescent="0.3">
      <c r="A14" s="311" t="s">
        <v>404</v>
      </c>
      <c r="B14" s="317"/>
      <c r="C14" s="317"/>
      <c r="D14" s="317"/>
      <c r="E14" s="317"/>
      <c r="F14" s="318"/>
    </row>
    <row r="15" spans="1:6" x14ac:dyDescent="0.3">
      <c r="A15" s="311" t="s">
        <v>405</v>
      </c>
      <c r="B15" s="317"/>
      <c r="C15" s="317"/>
      <c r="D15" s="317"/>
      <c r="E15" s="317"/>
      <c r="F15" s="318"/>
    </row>
    <row r="16" spans="1:6" x14ac:dyDescent="0.3">
      <c r="A16" s="313" t="s">
        <v>406</v>
      </c>
      <c r="B16" s="317"/>
      <c r="C16" s="317"/>
      <c r="D16" s="317"/>
      <c r="E16" s="317"/>
      <c r="F16" s="318"/>
    </row>
    <row r="17" spans="1:6" x14ac:dyDescent="0.3">
      <c r="A17" s="314" t="s">
        <v>381</v>
      </c>
      <c r="B17" s="315"/>
      <c r="C17" s="315"/>
      <c r="D17" s="315"/>
      <c r="E17" s="315"/>
      <c r="F17" s="318"/>
    </row>
    <row r="18" spans="1:6" x14ac:dyDescent="0.3">
      <c r="A18" s="311" t="s">
        <v>404</v>
      </c>
      <c r="B18" s="317"/>
      <c r="C18" s="317"/>
      <c r="D18" s="317"/>
      <c r="E18" s="317"/>
      <c r="F18" s="318"/>
    </row>
    <row r="19" spans="1:6" x14ac:dyDescent="0.3">
      <c r="A19" s="311" t="s">
        <v>405</v>
      </c>
      <c r="B19" s="317"/>
      <c r="C19" s="317"/>
      <c r="D19" s="317"/>
      <c r="E19" s="317"/>
      <c r="F19" s="318"/>
    </row>
    <row r="20" spans="1:6" ht="15" thickBot="1" x14ac:dyDescent="0.35">
      <c r="A20" s="319" t="s">
        <v>406</v>
      </c>
      <c r="B20" s="320"/>
      <c r="C20" s="320"/>
      <c r="D20" s="320"/>
      <c r="E20" s="320"/>
      <c r="F20" s="321"/>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9F46-1F66-483C-BC51-3E67DAB66123}">
  <dimension ref="A1:F71"/>
  <sheetViews>
    <sheetView zoomScaleNormal="100" workbookViewId="0">
      <pane xSplit="1" ySplit="5" topLeftCell="B43" activePane="bottomRight" state="frozen"/>
      <selection activeCell="B2" sqref="B2:C6"/>
      <selection pane="topRight" activeCell="B2" sqref="B2:C6"/>
      <selection pane="bottomLeft" activeCell="B2" sqref="B2:C6"/>
      <selection pane="bottomRight" activeCell="E56" sqref="E56"/>
    </sheetView>
  </sheetViews>
  <sheetFormatPr defaultRowHeight="14.4" x14ac:dyDescent="0.3"/>
  <cols>
    <col min="1" max="1" width="10.6640625" style="322" customWidth="1"/>
    <col min="2" max="2" width="87.109375" style="322" customWidth="1"/>
    <col min="3" max="3" width="47.44140625" style="799" customWidth="1"/>
    <col min="4" max="4" width="32.33203125" style="322" customWidth="1"/>
    <col min="5" max="5" width="9.44140625" customWidth="1"/>
    <col min="6" max="6" width="14.44140625" customWidth="1"/>
    <col min="7" max="7" width="62.109375" customWidth="1"/>
  </cols>
  <sheetData>
    <row r="1" spans="1:6" x14ac:dyDescent="0.3">
      <c r="A1" s="21" t="s">
        <v>41</v>
      </c>
      <c r="B1" s="52" t="str">
        <f>Info!C2</f>
        <v>სს სილქ ბანკი</v>
      </c>
      <c r="E1" s="20"/>
      <c r="F1" s="20"/>
    </row>
    <row r="2" spans="1:6" s="21" customFormat="1" ht="15.75" customHeight="1" x14ac:dyDescent="0.3">
      <c r="A2" s="21" t="s">
        <v>42</v>
      </c>
      <c r="B2" s="24">
        <f>'1. key ratios'!B2</f>
        <v>45747</v>
      </c>
      <c r="C2" s="800"/>
    </row>
    <row r="3" spans="1:6" s="21" customFormat="1" ht="15.75" customHeight="1" x14ac:dyDescent="0.3">
      <c r="A3" s="323"/>
      <c r="C3" s="800"/>
    </row>
    <row r="4" spans="1:6" s="21" customFormat="1" ht="40.5" customHeight="1" thickBot="1" x14ac:dyDescent="0.35">
      <c r="A4" s="21" t="s">
        <v>408</v>
      </c>
      <c r="B4" s="324" t="s">
        <v>23</v>
      </c>
      <c r="C4" s="800"/>
      <c r="D4" s="325" t="s">
        <v>231</v>
      </c>
    </row>
    <row r="5" spans="1:6" ht="41.4" x14ac:dyDescent="0.3">
      <c r="A5" s="326" t="s">
        <v>45</v>
      </c>
      <c r="B5" s="327" t="s">
        <v>281</v>
      </c>
      <c r="C5" s="801" t="s">
        <v>409</v>
      </c>
      <c r="D5" s="328" t="s">
        <v>410</v>
      </c>
    </row>
    <row r="6" spans="1:6" x14ac:dyDescent="0.3">
      <c r="A6" s="65">
        <v>1</v>
      </c>
      <c r="B6" s="66" t="s">
        <v>91</v>
      </c>
      <c r="C6" s="329">
        <f>SUM(C7:C9)</f>
        <v>30460113.880000032</v>
      </c>
      <c r="D6" s="330"/>
      <c r="E6" s="331"/>
    </row>
    <row r="7" spans="1:6" x14ac:dyDescent="0.3">
      <c r="A7" s="65">
        <v>1.1000000000000001</v>
      </c>
      <c r="B7" s="69" t="s">
        <v>92</v>
      </c>
      <c r="C7" s="332">
        <f>'7. LI1'!E9</f>
        <v>4442593.9499999983</v>
      </c>
      <c r="D7" s="333"/>
      <c r="E7" s="331"/>
    </row>
    <row r="8" spans="1:6" x14ac:dyDescent="0.3">
      <c r="A8" s="65">
        <v>1.2</v>
      </c>
      <c r="B8" s="69" t="s">
        <v>93</v>
      </c>
      <c r="C8" s="332">
        <f>'7. LI1'!E10</f>
        <v>3819911.4400000335</v>
      </c>
      <c r="D8" s="333"/>
      <c r="E8" s="331"/>
    </row>
    <row r="9" spans="1:6" x14ac:dyDescent="0.3">
      <c r="A9" s="65">
        <v>1.3</v>
      </c>
      <c r="B9" s="69" t="s">
        <v>94</v>
      </c>
      <c r="C9" s="332">
        <f>'7. LI1'!E11</f>
        <v>22197608.489999998</v>
      </c>
      <c r="D9" s="333"/>
      <c r="E9" s="331"/>
    </row>
    <row r="10" spans="1:6" x14ac:dyDescent="0.3">
      <c r="A10" s="65">
        <v>2</v>
      </c>
      <c r="B10" s="71" t="s">
        <v>95</v>
      </c>
      <c r="C10" s="332">
        <f>'7. LI1'!E12</f>
        <v>150046.31047218281</v>
      </c>
      <c r="D10" s="333"/>
      <c r="E10" s="331"/>
    </row>
    <row r="11" spans="1:6" x14ac:dyDescent="0.3">
      <c r="A11" s="65">
        <v>2.1</v>
      </c>
      <c r="B11" s="72" t="s">
        <v>96</v>
      </c>
      <c r="C11" s="332">
        <f>'7. LI1'!E13</f>
        <v>150046.31047218281</v>
      </c>
      <c r="D11" s="334"/>
      <c r="E11" s="335"/>
    </row>
    <row r="12" spans="1:6" ht="23.4" customHeight="1" x14ac:dyDescent="0.3">
      <c r="A12" s="65">
        <v>3</v>
      </c>
      <c r="B12" s="73" t="s">
        <v>97</v>
      </c>
      <c r="C12" s="332">
        <f>'7. LI1'!E14</f>
        <v>0</v>
      </c>
      <c r="D12" s="334"/>
      <c r="E12" s="335"/>
    </row>
    <row r="13" spans="1:6" ht="23.1" customHeight="1" x14ac:dyDescent="0.3">
      <c r="A13" s="65">
        <v>4</v>
      </c>
      <c r="B13" s="74" t="s">
        <v>98</v>
      </c>
      <c r="C13" s="332">
        <f>'7. LI1'!E15</f>
        <v>0</v>
      </c>
      <c r="D13" s="334"/>
      <c r="E13" s="335"/>
    </row>
    <row r="14" spans="1:6" x14ac:dyDescent="0.3">
      <c r="A14" s="65">
        <v>5</v>
      </c>
      <c r="B14" s="74" t="s">
        <v>99</v>
      </c>
      <c r="C14" s="336">
        <f>SUM(C15:C17)</f>
        <v>20000</v>
      </c>
      <c r="D14" s="334"/>
      <c r="E14" s="335"/>
    </row>
    <row r="15" spans="1:6" x14ac:dyDescent="0.3">
      <c r="A15" s="65">
        <v>5.0999999999999996</v>
      </c>
      <c r="B15" s="77" t="s">
        <v>100</v>
      </c>
      <c r="C15" s="332">
        <f>'7. LI1'!E17</f>
        <v>20000</v>
      </c>
      <c r="D15" s="334"/>
      <c r="E15" s="331"/>
    </row>
    <row r="16" spans="1:6" x14ac:dyDescent="0.3">
      <c r="A16" s="65">
        <v>5.2</v>
      </c>
      <c r="B16" s="77" t="s">
        <v>101</v>
      </c>
      <c r="C16" s="332">
        <f>'7. LI1'!E18</f>
        <v>0</v>
      </c>
      <c r="D16" s="333"/>
      <c r="E16" s="331"/>
    </row>
    <row r="17" spans="1:6" x14ac:dyDescent="0.3">
      <c r="A17" s="65">
        <v>5.3</v>
      </c>
      <c r="B17" s="77" t="s">
        <v>102</v>
      </c>
      <c r="C17" s="332">
        <f>'7. LI1'!E19</f>
        <v>0</v>
      </c>
      <c r="D17" s="333"/>
      <c r="E17" s="331"/>
    </row>
    <row r="18" spans="1:6" x14ac:dyDescent="0.3">
      <c r="A18" s="65">
        <v>6</v>
      </c>
      <c r="B18" s="73" t="s">
        <v>103</v>
      </c>
      <c r="C18" s="337">
        <f>SUM(C19:C20)</f>
        <v>153936639.21293718</v>
      </c>
      <c r="D18" s="333"/>
      <c r="E18" s="331"/>
    </row>
    <row r="19" spans="1:6" x14ac:dyDescent="0.3">
      <c r="A19" s="65">
        <v>6.1</v>
      </c>
      <c r="B19" s="77" t="s">
        <v>101</v>
      </c>
      <c r="C19" s="338">
        <f>'7. LI1'!C21</f>
        <v>24301148.331410542</v>
      </c>
      <c r="D19" s="333"/>
      <c r="E19" s="331"/>
    </row>
    <row r="20" spans="1:6" x14ac:dyDescent="0.3">
      <c r="A20" s="65">
        <v>6.2</v>
      </c>
      <c r="B20" s="77" t="s">
        <v>102</v>
      </c>
      <c r="C20" s="338">
        <f>'7. LI1'!C22</f>
        <v>129635490.88152665</v>
      </c>
      <c r="D20" s="333"/>
      <c r="E20" s="331"/>
    </row>
    <row r="21" spans="1:6" x14ac:dyDescent="0.3">
      <c r="A21" s="65">
        <v>7</v>
      </c>
      <c r="B21" s="89" t="s">
        <v>104</v>
      </c>
      <c r="C21" s="336"/>
      <c r="D21" s="333"/>
      <c r="E21" s="331"/>
    </row>
    <row r="22" spans="1:6" x14ac:dyDescent="0.3">
      <c r="A22" s="65">
        <v>8</v>
      </c>
      <c r="B22" s="339" t="s">
        <v>105</v>
      </c>
      <c r="C22" s="337">
        <f>'7. LI1'!E24</f>
        <v>3482447.7104663118</v>
      </c>
      <c r="D22" s="333"/>
      <c r="E22" s="331"/>
    </row>
    <row r="23" spans="1:6" x14ac:dyDescent="0.3">
      <c r="A23" s="65">
        <v>9</v>
      </c>
      <c r="B23" s="74" t="s">
        <v>106</v>
      </c>
      <c r="C23" s="337">
        <f>SUM(C24:C25)</f>
        <v>17965176.992951196</v>
      </c>
      <c r="D23" s="340"/>
      <c r="E23" s="331"/>
    </row>
    <row r="24" spans="1:6" x14ac:dyDescent="0.3">
      <c r="A24" s="65">
        <v>9.1</v>
      </c>
      <c r="B24" s="80" t="s">
        <v>107</v>
      </c>
      <c r="C24" s="341">
        <f>'7. LI1'!E26</f>
        <v>17965176.992951196</v>
      </c>
      <c r="D24" s="342"/>
      <c r="E24" s="331"/>
    </row>
    <row r="25" spans="1:6" x14ac:dyDescent="0.3">
      <c r="A25" s="65">
        <v>9.1999999999999993</v>
      </c>
      <c r="B25" s="80" t="s">
        <v>108</v>
      </c>
      <c r="C25" s="341">
        <f>'7. LI1'!E27</f>
        <v>0</v>
      </c>
      <c r="D25" s="343"/>
      <c r="E25" s="344"/>
    </row>
    <row r="26" spans="1:6" x14ac:dyDescent="0.3">
      <c r="A26" s="65">
        <v>10</v>
      </c>
      <c r="B26" s="74" t="s">
        <v>109</v>
      </c>
      <c r="C26" s="345">
        <f>SUM(C27:C28)</f>
        <v>12826055.879999995</v>
      </c>
      <c r="D26" s="742" t="s">
        <v>411</v>
      </c>
      <c r="E26" s="331"/>
      <c r="F26" s="743"/>
    </row>
    <row r="27" spans="1:6" x14ac:dyDescent="0.3">
      <c r="A27" s="65">
        <v>10.1</v>
      </c>
      <c r="B27" s="80" t="s">
        <v>110</v>
      </c>
      <c r="C27" s="332">
        <f>'7. LI1'!C29</f>
        <v>0</v>
      </c>
      <c r="D27" s="333"/>
      <c r="E27" s="331"/>
    </row>
    <row r="28" spans="1:6" x14ac:dyDescent="0.3">
      <c r="A28" s="65">
        <v>10.199999999999999</v>
      </c>
      <c r="B28" s="80" t="s">
        <v>111</v>
      </c>
      <c r="C28" s="332">
        <f>'7. LI1'!C30</f>
        <v>12826055.879999995</v>
      </c>
      <c r="D28" s="333"/>
      <c r="E28" s="331"/>
    </row>
    <row r="29" spans="1:6" x14ac:dyDescent="0.3">
      <c r="A29" s="65">
        <v>11</v>
      </c>
      <c r="B29" s="74" t="s">
        <v>112</v>
      </c>
      <c r="C29" s="337">
        <f>SUM(C30:C31)</f>
        <v>1252718.6304127974</v>
      </c>
      <c r="D29" s="333"/>
      <c r="E29" s="331"/>
    </row>
    <row r="30" spans="1:6" x14ac:dyDescent="0.3">
      <c r="A30" s="65">
        <v>11.1</v>
      </c>
      <c r="B30" s="80" t="s">
        <v>113</v>
      </c>
      <c r="C30" s="332">
        <f>'7. LI1'!C32</f>
        <v>45248.5</v>
      </c>
      <c r="D30" s="333"/>
      <c r="E30" s="331"/>
    </row>
    <row r="31" spans="1:6" x14ac:dyDescent="0.3">
      <c r="A31" s="65">
        <v>11.2</v>
      </c>
      <c r="B31" s="80" t="s">
        <v>114</v>
      </c>
      <c r="C31" s="332">
        <f>'7. LI1'!C33</f>
        <v>1207470.1304127974</v>
      </c>
      <c r="D31" s="742" t="s">
        <v>412</v>
      </c>
      <c r="E31" s="331"/>
    </row>
    <row r="32" spans="1:6" x14ac:dyDescent="0.3">
      <c r="A32" s="65">
        <v>13</v>
      </c>
      <c r="B32" s="74" t="s">
        <v>115</v>
      </c>
      <c r="C32" s="332">
        <f>'7. LI1'!C34</f>
        <v>5754111.5686899982</v>
      </c>
      <c r="D32" s="333"/>
      <c r="E32" s="331"/>
    </row>
    <row r="33" spans="1:5" x14ac:dyDescent="0.3">
      <c r="A33" s="65">
        <v>13.1</v>
      </c>
      <c r="B33" s="81" t="s">
        <v>116</v>
      </c>
      <c r="C33" s="332">
        <f>'7. LI1'!C35</f>
        <v>0</v>
      </c>
      <c r="D33" s="333"/>
      <c r="E33" s="331"/>
    </row>
    <row r="34" spans="1:5" x14ac:dyDescent="0.3">
      <c r="A34" s="65">
        <v>13.2</v>
      </c>
      <c r="B34" s="81" t="s">
        <v>117</v>
      </c>
      <c r="C34" s="332">
        <f>'7. LI1'!C36</f>
        <v>0</v>
      </c>
      <c r="D34" s="342"/>
      <c r="E34" s="331"/>
    </row>
    <row r="35" spans="1:5" x14ac:dyDescent="0.3">
      <c r="A35" s="65">
        <v>14</v>
      </c>
      <c r="B35" s="82" t="s">
        <v>118</v>
      </c>
      <c r="C35" s="346">
        <f>SUM(C6,C10,C12,C13,C14,C18,C21,C22,C23,C26,C29,C32)</f>
        <v>225847310.18592969</v>
      </c>
      <c r="D35" s="342"/>
      <c r="E35" s="331"/>
    </row>
    <row r="36" spans="1:5" x14ac:dyDescent="0.3">
      <c r="A36" s="65"/>
      <c r="B36" s="83" t="s">
        <v>119</v>
      </c>
      <c r="C36" s="347"/>
      <c r="D36" s="348"/>
      <c r="E36" s="331"/>
    </row>
    <row r="37" spans="1:5" x14ac:dyDescent="0.3">
      <c r="A37" s="65">
        <v>15</v>
      </c>
      <c r="B37" s="88" t="s">
        <v>120</v>
      </c>
      <c r="C37" s="349">
        <f>'2. SOFP'!E38</f>
        <v>35893.766611955027</v>
      </c>
      <c r="D37" s="343"/>
      <c r="E37" s="344"/>
    </row>
    <row r="38" spans="1:5" x14ac:dyDescent="0.3">
      <c r="A38" s="65">
        <v>15.1</v>
      </c>
      <c r="B38" s="72" t="s">
        <v>96</v>
      </c>
      <c r="C38" s="349">
        <f>'2. SOFP'!E39</f>
        <v>35893.766611955027</v>
      </c>
      <c r="D38" s="333"/>
      <c r="E38" s="331"/>
    </row>
    <row r="39" spans="1:5" ht="20.399999999999999" x14ac:dyDescent="0.3">
      <c r="A39" s="65">
        <v>16</v>
      </c>
      <c r="B39" s="89" t="s">
        <v>121</v>
      </c>
      <c r="C39" s="349">
        <f>'2. SOFP'!E40</f>
        <v>0</v>
      </c>
      <c r="D39" s="333"/>
      <c r="E39" s="331"/>
    </row>
    <row r="40" spans="1:5" x14ac:dyDescent="0.3">
      <c r="A40" s="65">
        <v>17</v>
      </c>
      <c r="B40" s="89" t="s">
        <v>122</v>
      </c>
      <c r="C40" s="337">
        <f>SUM(C41:C44)</f>
        <v>148060651.99994725</v>
      </c>
      <c r="D40" s="333"/>
      <c r="E40" s="331"/>
    </row>
    <row r="41" spans="1:5" x14ac:dyDescent="0.3">
      <c r="A41" s="65">
        <v>17.100000000000001</v>
      </c>
      <c r="B41" s="91" t="s">
        <v>123</v>
      </c>
      <c r="C41" s="332">
        <f>'2. SOFP'!E42</f>
        <v>147272703.77279821</v>
      </c>
      <c r="D41" s="333"/>
      <c r="E41" s="331"/>
    </row>
    <row r="42" spans="1:5" x14ac:dyDescent="0.3">
      <c r="A42" s="350">
        <v>17.2</v>
      </c>
      <c r="B42" s="351" t="s">
        <v>124</v>
      </c>
      <c r="C42" s="332">
        <f>'2. SOFP'!E43</f>
        <v>0</v>
      </c>
      <c r="D42" s="342"/>
      <c r="E42" s="331"/>
    </row>
    <row r="43" spans="1:5" x14ac:dyDescent="0.3">
      <c r="A43" s="65">
        <v>17.3</v>
      </c>
      <c r="B43" s="352" t="s">
        <v>125</v>
      </c>
      <c r="C43" s="332">
        <f>'2. SOFP'!E44</f>
        <v>0</v>
      </c>
      <c r="D43" s="353"/>
      <c r="E43" s="331"/>
    </row>
    <row r="44" spans="1:5" x14ac:dyDescent="0.3">
      <c r="A44" s="65">
        <v>17.399999999999999</v>
      </c>
      <c r="B44" s="352" t="s">
        <v>126</v>
      </c>
      <c r="C44" s="332">
        <f>'2. SOFP'!E45</f>
        <v>787948.22714903415</v>
      </c>
      <c r="D44" s="353"/>
      <c r="E44" s="331"/>
    </row>
    <row r="45" spans="1:5" x14ac:dyDescent="0.3">
      <c r="A45" s="65">
        <v>18</v>
      </c>
      <c r="B45" s="96" t="s">
        <v>127</v>
      </c>
      <c r="C45" s="332">
        <f>'2. SOFP'!E46</f>
        <v>100144.64247576083</v>
      </c>
      <c r="D45" s="353"/>
      <c r="E45" s="344"/>
    </row>
    <row r="46" spans="1:5" x14ac:dyDescent="0.3">
      <c r="A46" s="65">
        <v>19</v>
      </c>
      <c r="B46" s="96" t="s">
        <v>128</v>
      </c>
      <c r="C46" s="354">
        <f>SUM(C47:C48)</f>
        <v>0</v>
      </c>
      <c r="D46" s="3"/>
    </row>
    <row r="47" spans="1:5" x14ac:dyDescent="0.3">
      <c r="A47" s="65">
        <v>19.100000000000001</v>
      </c>
      <c r="B47" s="355" t="s">
        <v>129</v>
      </c>
      <c r="C47" s="356">
        <f>'2. SOFP'!E48</f>
        <v>0</v>
      </c>
      <c r="D47" s="3"/>
    </row>
    <row r="48" spans="1:5" x14ac:dyDescent="0.3">
      <c r="A48" s="65">
        <v>19.2</v>
      </c>
      <c r="B48" s="355" t="s">
        <v>130</v>
      </c>
      <c r="C48" s="356">
        <f>'2. SOFP'!E49</f>
        <v>0</v>
      </c>
      <c r="D48" s="3"/>
    </row>
    <row r="49" spans="1:6" x14ac:dyDescent="0.3">
      <c r="A49" s="65">
        <v>20</v>
      </c>
      <c r="B49" s="82" t="s">
        <v>131</v>
      </c>
      <c r="C49" s="357">
        <f>'2. SOFP'!E50</f>
        <v>4462299.609817774</v>
      </c>
      <c r="D49" s="742" t="s">
        <v>1038</v>
      </c>
      <c r="F49" s="204"/>
    </row>
    <row r="50" spans="1:6" x14ac:dyDescent="0.3">
      <c r="A50" s="65">
        <v>21</v>
      </c>
      <c r="B50" s="71" t="s">
        <v>132</v>
      </c>
      <c r="C50" s="356">
        <f>'2. SOFP'!E51</f>
        <v>1390514.681057455</v>
      </c>
      <c r="D50" s="3"/>
    </row>
    <row r="51" spans="1:6" x14ac:dyDescent="0.3">
      <c r="A51" s="65">
        <v>21.1</v>
      </c>
      <c r="B51" s="69" t="s">
        <v>133</v>
      </c>
      <c r="C51" s="356">
        <f>'2. SOFP'!E52</f>
        <v>0</v>
      </c>
      <c r="D51" s="3"/>
    </row>
    <row r="52" spans="1:6" x14ac:dyDescent="0.3">
      <c r="A52" s="65">
        <v>22</v>
      </c>
      <c r="B52" s="82" t="s">
        <v>134</v>
      </c>
      <c r="C52" s="354">
        <f>SUM(C37,C39,C40,C45,C46,C49,C50)</f>
        <v>154049504.69991019</v>
      </c>
      <c r="D52" s="3"/>
    </row>
    <row r="53" spans="1:6" x14ac:dyDescent="0.3">
      <c r="A53" s="65"/>
      <c r="B53" s="83" t="s">
        <v>135</v>
      </c>
      <c r="C53" s="802"/>
      <c r="D53" s="3"/>
    </row>
    <row r="54" spans="1:6" x14ac:dyDescent="0.3">
      <c r="A54" s="65">
        <v>23</v>
      </c>
      <c r="B54" s="82" t="s">
        <v>136</v>
      </c>
      <c r="C54" s="358">
        <f>'2. SOFP'!E55</f>
        <v>101746400</v>
      </c>
      <c r="D54" s="742" t="s">
        <v>1037</v>
      </c>
    </row>
    <row r="55" spans="1:6" x14ac:dyDescent="0.3">
      <c r="A55" s="65">
        <v>24</v>
      </c>
      <c r="B55" s="82" t="s">
        <v>137</v>
      </c>
      <c r="C55" s="358">
        <f>'2. SOFP'!E56</f>
        <v>0</v>
      </c>
      <c r="D55" s="3"/>
    </row>
    <row r="56" spans="1:6" x14ac:dyDescent="0.3">
      <c r="A56" s="65">
        <v>25</v>
      </c>
      <c r="B56" s="82" t="s">
        <v>138</v>
      </c>
      <c r="C56" s="358">
        <f>'2. SOFP'!E57</f>
        <v>0</v>
      </c>
      <c r="D56" s="3"/>
    </row>
    <row r="57" spans="1:6" x14ac:dyDescent="0.3">
      <c r="A57" s="65">
        <v>26</v>
      </c>
      <c r="B57" s="96" t="s">
        <v>139</v>
      </c>
      <c r="C57" s="358">
        <f>'2. SOFP'!E58</f>
        <v>0</v>
      </c>
      <c r="D57" s="3"/>
    </row>
    <row r="58" spans="1:6" x14ac:dyDescent="0.3">
      <c r="A58" s="65">
        <v>27</v>
      </c>
      <c r="B58" s="96" t="s">
        <v>140</v>
      </c>
      <c r="C58" s="358">
        <f>SUM(C59:C60)</f>
        <v>0</v>
      </c>
      <c r="D58" s="3"/>
    </row>
    <row r="59" spans="1:6" x14ac:dyDescent="0.3">
      <c r="A59" s="65">
        <v>27.1</v>
      </c>
      <c r="B59" s="355" t="s">
        <v>141</v>
      </c>
      <c r="C59" s="359">
        <f>'2. SOFP'!E60</f>
        <v>0</v>
      </c>
      <c r="D59" s="3"/>
    </row>
    <row r="60" spans="1:6" x14ac:dyDescent="0.3">
      <c r="A60" s="65">
        <v>27.2</v>
      </c>
      <c r="B60" s="352" t="s">
        <v>142</v>
      </c>
      <c r="C60" s="359">
        <f>'2. SOFP'!E61</f>
        <v>0</v>
      </c>
      <c r="D60" s="3"/>
    </row>
    <row r="61" spans="1:6" x14ac:dyDescent="0.3">
      <c r="A61" s="65">
        <v>28</v>
      </c>
      <c r="B61" s="71" t="s">
        <v>143</v>
      </c>
      <c r="C61" s="359">
        <f>'2. SOFP'!E62</f>
        <v>0</v>
      </c>
      <c r="D61" s="3"/>
    </row>
    <row r="62" spans="1:6" x14ac:dyDescent="0.3">
      <c r="A62" s="65">
        <v>29</v>
      </c>
      <c r="B62" s="96" t="s">
        <v>144</v>
      </c>
      <c r="C62" s="358">
        <f>SUM(C63:C65)</f>
        <v>3486012.7618743461</v>
      </c>
      <c r="D62" s="3"/>
    </row>
    <row r="63" spans="1:6" x14ac:dyDescent="0.3">
      <c r="A63" s="65">
        <v>29.1</v>
      </c>
      <c r="B63" s="360" t="s">
        <v>145</v>
      </c>
      <c r="C63" s="359">
        <f>'2. SOFP'!E64</f>
        <v>3486012.7618743461</v>
      </c>
      <c r="D63" s="3"/>
    </row>
    <row r="64" spans="1:6" ht="24" customHeight="1" x14ac:dyDescent="0.3">
      <c r="A64" s="65">
        <v>29.2</v>
      </c>
      <c r="B64" s="355" t="s">
        <v>146</v>
      </c>
      <c r="C64" s="359">
        <f>'2. SOFP'!E65</f>
        <v>0</v>
      </c>
      <c r="D64" s="3"/>
    </row>
    <row r="65" spans="1:4" ht="21.9" customHeight="1" x14ac:dyDescent="0.3">
      <c r="A65" s="65">
        <v>29.3</v>
      </c>
      <c r="B65" s="361" t="s">
        <v>147</v>
      </c>
      <c r="C65" s="359">
        <f>'2. SOFP'!E66</f>
        <v>0</v>
      </c>
      <c r="D65" s="3"/>
    </row>
    <row r="66" spans="1:4" x14ac:dyDescent="0.3">
      <c r="A66" s="65">
        <v>30</v>
      </c>
      <c r="B66" s="96" t="s">
        <v>148</v>
      </c>
      <c r="C66" s="359">
        <f>'2. SOFP'!E67</f>
        <v>-33434607.609855156</v>
      </c>
      <c r="D66" s="742" t="s">
        <v>413</v>
      </c>
    </row>
    <row r="67" spans="1:4" x14ac:dyDescent="0.3">
      <c r="A67" s="65">
        <v>31</v>
      </c>
      <c r="B67" s="95" t="s">
        <v>149</v>
      </c>
      <c r="C67" s="358">
        <f>SUM(C54,C55,C56,C57,C58,C61,C62,C66)</f>
        <v>71797805.152019188</v>
      </c>
      <c r="D67" s="3"/>
    </row>
    <row r="68" spans="1:4" x14ac:dyDescent="0.3">
      <c r="A68" s="65">
        <v>32</v>
      </c>
      <c r="B68" s="96" t="s">
        <v>150</v>
      </c>
      <c r="C68" s="358">
        <f>SUM(C52,C67)</f>
        <v>225847309.85192937</v>
      </c>
      <c r="D68" s="3"/>
    </row>
    <row r="69" spans="1:4" x14ac:dyDescent="0.3">
      <c r="C69" s="803"/>
    </row>
    <row r="70" spans="1:4" x14ac:dyDescent="0.3">
      <c r="C70" s="803"/>
    </row>
    <row r="71" spans="1:4" x14ac:dyDescent="0.3">
      <c r="C71" s="803"/>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4951-A45F-4374-8A47-B93E0EF23008}">
  <dimension ref="A1:S26"/>
  <sheetViews>
    <sheetView zoomScale="115" zoomScaleNormal="115" workbookViewId="0">
      <pane xSplit="2" ySplit="7" topLeftCell="R14" activePane="bottomRight" state="frozen"/>
      <selection activeCell="B2" sqref="B2:C6"/>
      <selection pane="topRight" activeCell="B2" sqref="B2:C6"/>
      <selection pane="bottomLeft" activeCell="B2" sqref="B2:C6"/>
      <selection pane="bottomRight" activeCell="V18" sqref="V18"/>
    </sheetView>
  </sheetViews>
  <sheetFormatPr defaultColWidth="9.109375" defaultRowHeight="13.8" x14ac:dyDescent="0.3"/>
  <cols>
    <col min="1" max="1" width="10.5546875" style="20" bestFit="1" customWidth="1"/>
    <col min="2" max="2" width="95" style="20" customWidth="1"/>
    <col min="3" max="3" width="13.88671875" style="20" customWidth="1"/>
    <col min="4" max="4" width="13.33203125" style="20" bestFit="1" customWidth="1"/>
    <col min="5" max="5" width="14" style="20" customWidth="1"/>
    <col min="6" max="6" width="13.33203125" style="20" bestFit="1" customWidth="1"/>
    <col min="7" max="7" width="19.44140625" style="20" customWidth="1"/>
    <col min="8" max="8" width="13.33203125" style="20" bestFit="1" customWidth="1"/>
    <col min="9" max="9" width="12.44140625" style="20" customWidth="1"/>
    <col min="10" max="10" width="13.33203125" style="20" bestFit="1" customWidth="1"/>
    <col min="11" max="11" width="11.5546875" style="20" customWidth="1"/>
    <col min="12" max="12" width="13.33203125" style="20" bestFit="1" customWidth="1"/>
    <col min="13" max="13" width="13.44140625" style="20" customWidth="1"/>
    <col min="14" max="14" width="13.33203125" style="20" bestFit="1" customWidth="1"/>
    <col min="15" max="15" width="14" style="20" customWidth="1"/>
    <col min="16" max="16" width="13.33203125" style="20" bestFit="1" customWidth="1"/>
    <col min="17" max="17" width="13" style="20" customWidth="1"/>
    <col min="18" max="18" width="14" style="20" customWidth="1"/>
    <col min="19" max="19" width="31.5546875" style="20" bestFit="1" customWidth="1"/>
    <col min="20" max="16384" width="9.109375" style="139"/>
  </cols>
  <sheetData>
    <row r="1" spans="1:19" x14ac:dyDescent="0.3">
      <c r="A1" s="20" t="s">
        <v>41</v>
      </c>
      <c r="B1" s="20" t="str">
        <f>Info!C2</f>
        <v>სს სილქ ბანკი</v>
      </c>
    </row>
    <row r="2" spans="1:19" x14ac:dyDescent="0.3">
      <c r="A2" s="20" t="s">
        <v>42</v>
      </c>
      <c r="B2" s="24">
        <f>'1. key ratios'!B2</f>
        <v>45747</v>
      </c>
    </row>
    <row r="4" spans="1:19" ht="40.5" customHeight="1" thickBot="1" x14ac:dyDescent="0.35">
      <c r="A4" s="265" t="s">
        <v>414</v>
      </c>
      <c r="B4" s="362" t="s">
        <v>415</v>
      </c>
    </row>
    <row r="5" spans="1:19" x14ac:dyDescent="0.3">
      <c r="A5" s="363"/>
      <c r="B5" s="364"/>
      <c r="C5" s="365" t="s">
        <v>278</v>
      </c>
      <c r="D5" s="365" t="s">
        <v>279</v>
      </c>
      <c r="E5" s="365" t="s">
        <v>280</v>
      </c>
      <c r="F5" s="365" t="s">
        <v>416</v>
      </c>
      <c r="G5" s="365" t="s">
        <v>417</v>
      </c>
      <c r="H5" s="365" t="s">
        <v>418</v>
      </c>
      <c r="I5" s="365" t="s">
        <v>419</v>
      </c>
      <c r="J5" s="365" t="s">
        <v>420</v>
      </c>
      <c r="K5" s="365" t="s">
        <v>421</v>
      </c>
      <c r="L5" s="365" t="s">
        <v>422</v>
      </c>
      <c r="M5" s="365" t="s">
        <v>423</v>
      </c>
      <c r="N5" s="365" t="s">
        <v>424</v>
      </c>
      <c r="O5" s="365" t="s">
        <v>425</v>
      </c>
      <c r="P5" s="365" t="s">
        <v>426</v>
      </c>
      <c r="Q5" s="365" t="s">
        <v>427</v>
      </c>
      <c r="R5" s="366" t="s">
        <v>428</v>
      </c>
      <c r="S5" s="367" t="s">
        <v>429</v>
      </c>
    </row>
    <row r="6" spans="1:19" ht="46.5" customHeight="1" x14ac:dyDescent="0.3">
      <c r="A6" s="368"/>
      <c r="B6" s="860" t="s">
        <v>430</v>
      </c>
      <c r="C6" s="856">
        <v>0</v>
      </c>
      <c r="D6" s="857"/>
      <c r="E6" s="856">
        <v>0.2</v>
      </c>
      <c r="F6" s="857"/>
      <c r="G6" s="856">
        <v>0.35</v>
      </c>
      <c r="H6" s="857"/>
      <c r="I6" s="856">
        <v>0.5</v>
      </c>
      <c r="J6" s="857"/>
      <c r="K6" s="856">
        <v>0.75</v>
      </c>
      <c r="L6" s="857"/>
      <c r="M6" s="856">
        <v>1</v>
      </c>
      <c r="N6" s="857"/>
      <c r="O6" s="856">
        <v>1.5</v>
      </c>
      <c r="P6" s="857"/>
      <c r="Q6" s="856">
        <v>2.5</v>
      </c>
      <c r="R6" s="857"/>
      <c r="S6" s="858" t="s">
        <v>431</v>
      </c>
    </row>
    <row r="7" spans="1:19" x14ac:dyDescent="0.3">
      <c r="A7" s="368"/>
      <c r="B7" s="861"/>
      <c r="C7" s="369" t="s">
        <v>432</v>
      </c>
      <c r="D7" s="369" t="s">
        <v>433</v>
      </c>
      <c r="E7" s="369" t="s">
        <v>432</v>
      </c>
      <c r="F7" s="369" t="s">
        <v>433</v>
      </c>
      <c r="G7" s="369" t="s">
        <v>432</v>
      </c>
      <c r="H7" s="369" t="s">
        <v>433</v>
      </c>
      <c r="I7" s="369" t="s">
        <v>432</v>
      </c>
      <c r="J7" s="369" t="s">
        <v>433</v>
      </c>
      <c r="K7" s="369" t="s">
        <v>432</v>
      </c>
      <c r="L7" s="369" t="s">
        <v>433</v>
      </c>
      <c r="M7" s="369" t="s">
        <v>432</v>
      </c>
      <c r="N7" s="369" t="s">
        <v>433</v>
      </c>
      <c r="O7" s="369" t="s">
        <v>432</v>
      </c>
      <c r="P7" s="369" t="s">
        <v>433</v>
      </c>
      <c r="Q7" s="369" t="s">
        <v>432</v>
      </c>
      <c r="R7" s="369" t="s">
        <v>433</v>
      </c>
      <c r="S7" s="859"/>
    </row>
    <row r="8" spans="1:19" x14ac:dyDescent="0.3">
      <c r="A8" s="370">
        <v>1</v>
      </c>
      <c r="B8" s="371" t="s">
        <v>434</v>
      </c>
      <c r="C8" s="372">
        <v>25200253.671410576</v>
      </c>
      <c r="D8" s="372"/>
      <c r="E8" s="372">
        <v>0</v>
      </c>
      <c r="F8" s="373"/>
      <c r="G8" s="372">
        <v>0</v>
      </c>
      <c r="H8" s="372"/>
      <c r="I8" s="372">
        <v>0</v>
      </c>
      <c r="J8" s="372"/>
      <c r="K8" s="372">
        <v>0</v>
      </c>
      <c r="L8" s="372"/>
      <c r="M8" s="372">
        <v>2920806.1</v>
      </c>
      <c r="N8" s="372"/>
      <c r="O8" s="372">
        <v>0</v>
      </c>
      <c r="P8" s="372"/>
      <c r="Q8" s="372">
        <v>0</v>
      </c>
      <c r="R8" s="373"/>
      <c r="S8" s="374">
        <f>$C$6*SUM(C8:D8)+$E$6*SUM(E8:F8)+$G$6*SUM(G8:H8)+$I$6*SUM(I8:J8)+$K$6*SUM(K8:L8)+$M$6*SUM(M8:N8)+$O$6*SUM(O8:P8)+$Q$6*SUM(Q8:R8)</f>
        <v>2920806.1</v>
      </c>
    </row>
    <row r="9" spans="1:19" x14ac:dyDescent="0.3">
      <c r="A9" s="370">
        <v>2</v>
      </c>
      <c r="B9" s="371" t="s">
        <v>435</v>
      </c>
      <c r="C9" s="372">
        <v>0</v>
      </c>
      <c r="D9" s="372"/>
      <c r="E9" s="372">
        <v>0</v>
      </c>
      <c r="F9" s="372"/>
      <c r="G9" s="372">
        <v>0</v>
      </c>
      <c r="H9" s="372"/>
      <c r="I9" s="372">
        <v>0</v>
      </c>
      <c r="J9" s="372"/>
      <c r="K9" s="372">
        <v>0</v>
      </c>
      <c r="L9" s="372"/>
      <c r="M9" s="372">
        <v>0</v>
      </c>
      <c r="N9" s="372"/>
      <c r="O9" s="372">
        <v>0</v>
      </c>
      <c r="P9" s="372"/>
      <c r="Q9" s="372">
        <v>0</v>
      </c>
      <c r="R9" s="373"/>
      <c r="S9" s="374">
        <f t="shared" ref="S9:S21" si="0">$C$6*SUM(C9:D9)+$E$6*SUM(E9:F9)+$G$6*SUM(G9:H9)+$I$6*SUM(I9:J9)+$K$6*SUM(K9:L9)+$M$6*SUM(M9:N9)+$O$6*SUM(O9:P9)+$Q$6*SUM(Q9:R9)</f>
        <v>0</v>
      </c>
    </row>
    <row r="10" spans="1:19" x14ac:dyDescent="0.3">
      <c r="A10" s="370">
        <v>3</v>
      </c>
      <c r="B10" s="371" t="s">
        <v>436</v>
      </c>
      <c r="C10" s="372">
        <v>0</v>
      </c>
      <c r="D10" s="372"/>
      <c r="E10" s="372">
        <v>0</v>
      </c>
      <c r="F10" s="372"/>
      <c r="G10" s="372">
        <v>0</v>
      </c>
      <c r="H10" s="372"/>
      <c r="I10" s="372">
        <v>0</v>
      </c>
      <c r="J10" s="372"/>
      <c r="K10" s="372">
        <v>0</v>
      </c>
      <c r="L10" s="372"/>
      <c r="M10" s="372">
        <v>0</v>
      </c>
      <c r="N10" s="372"/>
      <c r="O10" s="372">
        <v>0</v>
      </c>
      <c r="P10" s="372"/>
      <c r="Q10" s="372">
        <v>0</v>
      </c>
      <c r="R10" s="373"/>
      <c r="S10" s="374">
        <f t="shared" si="0"/>
        <v>0</v>
      </c>
    </row>
    <row r="11" spans="1:19" x14ac:dyDescent="0.3">
      <c r="A11" s="370">
        <v>4</v>
      </c>
      <c r="B11" s="371" t="s">
        <v>437</v>
      </c>
      <c r="C11" s="372">
        <v>0</v>
      </c>
      <c r="D11" s="372"/>
      <c r="E11" s="372">
        <v>0</v>
      </c>
      <c r="F11" s="372"/>
      <c r="G11" s="372">
        <v>0</v>
      </c>
      <c r="H11" s="372"/>
      <c r="I11" s="372">
        <v>0</v>
      </c>
      <c r="J11" s="372"/>
      <c r="K11" s="372">
        <v>0</v>
      </c>
      <c r="L11" s="372"/>
      <c r="M11" s="372">
        <v>0</v>
      </c>
      <c r="N11" s="372"/>
      <c r="O11" s="372">
        <v>0</v>
      </c>
      <c r="P11" s="372"/>
      <c r="Q11" s="372">
        <v>0</v>
      </c>
      <c r="R11" s="373"/>
      <c r="S11" s="374">
        <f t="shared" si="0"/>
        <v>0</v>
      </c>
    </row>
    <row r="12" spans="1:19" x14ac:dyDescent="0.3">
      <c r="A12" s="370">
        <v>5</v>
      </c>
      <c r="B12" s="371" t="s">
        <v>438</v>
      </c>
      <c r="C12" s="372">
        <v>0</v>
      </c>
      <c r="D12" s="372"/>
      <c r="E12" s="372">
        <v>0</v>
      </c>
      <c r="F12" s="372"/>
      <c r="G12" s="372">
        <v>0</v>
      </c>
      <c r="H12" s="372"/>
      <c r="I12" s="372">
        <v>0</v>
      </c>
      <c r="J12" s="372"/>
      <c r="K12" s="372">
        <v>0</v>
      </c>
      <c r="L12" s="372"/>
      <c r="M12" s="372">
        <v>0</v>
      </c>
      <c r="N12" s="372"/>
      <c r="O12" s="372">
        <v>0</v>
      </c>
      <c r="P12" s="372"/>
      <c r="Q12" s="372">
        <v>0</v>
      </c>
      <c r="R12" s="373"/>
      <c r="S12" s="374">
        <f t="shared" si="0"/>
        <v>0</v>
      </c>
    </row>
    <row r="13" spans="1:19" x14ac:dyDescent="0.3">
      <c r="A13" s="370">
        <v>6</v>
      </c>
      <c r="B13" s="371" t="s">
        <v>439</v>
      </c>
      <c r="C13" s="372">
        <v>0</v>
      </c>
      <c r="D13" s="372"/>
      <c r="E13" s="372">
        <v>8873091.9299999997</v>
      </c>
      <c r="F13" s="372"/>
      <c r="G13" s="372">
        <v>0</v>
      </c>
      <c r="H13" s="372"/>
      <c r="I13" s="372">
        <v>0</v>
      </c>
      <c r="J13" s="372"/>
      <c r="K13" s="372">
        <v>0</v>
      </c>
      <c r="L13" s="372"/>
      <c r="M13" s="372">
        <v>13324516.559999995</v>
      </c>
      <c r="N13" s="372"/>
      <c r="O13" s="372">
        <v>0</v>
      </c>
      <c r="P13" s="372"/>
      <c r="Q13" s="372">
        <v>0</v>
      </c>
      <c r="R13" s="373"/>
      <c r="S13" s="374">
        <f t="shared" si="0"/>
        <v>15099134.945999995</v>
      </c>
    </row>
    <row r="14" spans="1:19" x14ac:dyDescent="0.3">
      <c r="A14" s="370">
        <v>7</v>
      </c>
      <c r="B14" s="371" t="s">
        <v>440</v>
      </c>
      <c r="C14" s="372">
        <v>0</v>
      </c>
      <c r="D14" s="372"/>
      <c r="E14" s="372">
        <v>0</v>
      </c>
      <c r="F14" s="372"/>
      <c r="G14" s="372">
        <v>0</v>
      </c>
      <c r="H14" s="372"/>
      <c r="I14" s="372">
        <v>0</v>
      </c>
      <c r="J14" s="372">
        <v>0</v>
      </c>
      <c r="K14" s="372">
        <v>0</v>
      </c>
      <c r="L14" s="372"/>
      <c r="M14" s="372">
        <v>80776330.680000007</v>
      </c>
      <c r="N14" s="372">
        <v>6303597.6402633302</v>
      </c>
      <c r="O14" s="372">
        <v>0</v>
      </c>
      <c r="P14" s="372"/>
      <c r="Q14" s="372">
        <v>0</v>
      </c>
      <c r="R14" s="373"/>
      <c r="S14" s="374">
        <f t="shared" si="0"/>
        <v>87079928.320263341</v>
      </c>
    </row>
    <row r="15" spans="1:19" x14ac:dyDescent="0.3">
      <c r="A15" s="370">
        <v>8</v>
      </c>
      <c r="B15" s="375" t="s">
        <v>441</v>
      </c>
      <c r="C15" s="372">
        <v>0</v>
      </c>
      <c r="D15" s="372"/>
      <c r="E15" s="372">
        <v>0</v>
      </c>
      <c r="F15" s="372"/>
      <c r="G15" s="372">
        <v>0</v>
      </c>
      <c r="H15" s="372"/>
      <c r="I15" s="372">
        <v>0</v>
      </c>
      <c r="J15" s="372"/>
      <c r="K15" s="372">
        <v>33168194.739999998</v>
      </c>
      <c r="L15" s="372"/>
      <c r="M15" s="372">
        <v>15010124.189999999</v>
      </c>
      <c r="N15" s="372"/>
      <c r="O15" s="372">
        <v>0</v>
      </c>
      <c r="P15" s="372"/>
      <c r="Q15" s="372">
        <v>0</v>
      </c>
      <c r="R15" s="373"/>
      <c r="S15" s="374">
        <f t="shared" si="0"/>
        <v>39886270.244999997</v>
      </c>
    </row>
    <row r="16" spans="1:19" x14ac:dyDescent="0.3">
      <c r="A16" s="370">
        <v>9</v>
      </c>
      <c r="B16" s="375" t="s">
        <v>442</v>
      </c>
      <c r="C16" s="372">
        <v>0</v>
      </c>
      <c r="D16" s="372"/>
      <c r="E16" s="372">
        <v>0</v>
      </c>
      <c r="F16" s="372"/>
      <c r="G16" s="372">
        <v>0</v>
      </c>
      <c r="H16" s="372"/>
      <c r="I16" s="372">
        <v>0</v>
      </c>
      <c r="J16" s="372"/>
      <c r="K16" s="372">
        <v>0</v>
      </c>
      <c r="L16" s="372"/>
      <c r="M16" s="372">
        <v>0</v>
      </c>
      <c r="N16" s="372"/>
      <c r="O16" s="372">
        <v>0</v>
      </c>
      <c r="P16" s="372"/>
      <c r="Q16" s="372">
        <v>0</v>
      </c>
      <c r="R16" s="373"/>
      <c r="S16" s="374">
        <f t="shared" si="0"/>
        <v>0</v>
      </c>
    </row>
    <row r="17" spans="1:19" x14ac:dyDescent="0.3">
      <c r="A17" s="370">
        <v>10</v>
      </c>
      <c r="B17" s="375" t="s">
        <v>443</v>
      </c>
      <c r="C17" s="372">
        <v>0</v>
      </c>
      <c r="D17" s="372"/>
      <c r="E17" s="372">
        <v>0</v>
      </c>
      <c r="F17" s="372"/>
      <c r="G17" s="372">
        <v>0</v>
      </c>
      <c r="H17" s="372"/>
      <c r="I17" s="372">
        <v>0</v>
      </c>
      <c r="J17" s="372"/>
      <c r="K17" s="372">
        <v>0</v>
      </c>
      <c r="L17" s="372"/>
      <c r="M17" s="372">
        <v>680841.28</v>
      </c>
      <c r="N17" s="372"/>
      <c r="O17" s="372">
        <v>0</v>
      </c>
      <c r="P17" s="372"/>
      <c r="Q17" s="372">
        <v>0</v>
      </c>
      <c r="R17" s="373"/>
      <c r="S17" s="374">
        <f t="shared" si="0"/>
        <v>680841.28</v>
      </c>
    </row>
    <row r="18" spans="1:19" x14ac:dyDescent="0.3">
      <c r="A18" s="370">
        <v>11</v>
      </c>
      <c r="B18" s="375" t="s">
        <v>444</v>
      </c>
      <c r="C18" s="372">
        <v>0</v>
      </c>
      <c r="D18" s="372"/>
      <c r="E18" s="372">
        <v>0</v>
      </c>
      <c r="F18" s="372"/>
      <c r="G18" s="372">
        <v>0</v>
      </c>
      <c r="H18" s="372"/>
      <c r="I18" s="372">
        <v>0</v>
      </c>
      <c r="J18" s="372"/>
      <c r="K18" s="372">
        <v>0</v>
      </c>
      <c r="L18" s="372"/>
      <c r="M18" s="372">
        <v>0</v>
      </c>
      <c r="N18" s="372"/>
      <c r="O18" s="372">
        <v>0</v>
      </c>
      <c r="P18" s="372"/>
      <c r="Q18" s="372">
        <v>0</v>
      </c>
      <c r="R18" s="373"/>
      <c r="S18" s="374">
        <f t="shared" si="0"/>
        <v>0</v>
      </c>
    </row>
    <row r="19" spans="1:19" x14ac:dyDescent="0.3">
      <c r="A19" s="370">
        <v>12</v>
      </c>
      <c r="B19" s="375" t="s">
        <v>445</v>
      </c>
      <c r="C19" s="372">
        <v>0</v>
      </c>
      <c r="D19" s="372"/>
      <c r="E19" s="372">
        <v>0</v>
      </c>
      <c r="F19" s="372"/>
      <c r="G19" s="372">
        <v>0</v>
      </c>
      <c r="H19" s="372"/>
      <c r="I19" s="372">
        <v>0</v>
      </c>
      <c r="J19" s="372"/>
      <c r="K19" s="372">
        <v>0</v>
      </c>
      <c r="L19" s="372"/>
      <c r="M19" s="372">
        <v>0</v>
      </c>
      <c r="N19" s="372"/>
      <c r="O19" s="372">
        <v>0</v>
      </c>
      <c r="P19" s="372"/>
      <c r="Q19" s="372">
        <v>0</v>
      </c>
      <c r="R19" s="373"/>
      <c r="S19" s="374">
        <f t="shared" si="0"/>
        <v>0</v>
      </c>
    </row>
    <row r="20" spans="1:19" x14ac:dyDescent="0.3">
      <c r="A20" s="370">
        <v>13</v>
      </c>
      <c r="B20" s="375" t="s">
        <v>446</v>
      </c>
      <c r="C20" s="372">
        <v>0</v>
      </c>
      <c r="D20" s="372"/>
      <c r="E20" s="372">
        <v>0</v>
      </c>
      <c r="F20" s="372"/>
      <c r="G20" s="372">
        <v>0</v>
      </c>
      <c r="H20" s="372"/>
      <c r="I20" s="372">
        <v>0</v>
      </c>
      <c r="J20" s="372"/>
      <c r="K20" s="372">
        <v>0</v>
      </c>
      <c r="L20" s="372"/>
      <c r="M20" s="372">
        <v>0</v>
      </c>
      <c r="N20" s="372"/>
      <c r="O20" s="372">
        <v>0</v>
      </c>
      <c r="P20" s="372"/>
      <c r="Q20" s="372">
        <v>0</v>
      </c>
      <c r="R20" s="373"/>
      <c r="S20" s="374">
        <f t="shared" si="0"/>
        <v>0</v>
      </c>
    </row>
    <row r="21" spans="1:19" x14ac:dyDescent="0.3">
      <c r="A21" s="370">
        <v>14</v>
      </c>
      <c r="B21" s="375" t="s">
        <v>447</v>
      </c>
      <c r="C21" s="372">
        <v>4257163.46</v>
      </c>
      <c r="D21" s="372"/>
      <c r="E21" s="372">
        <v>185430.53999999992</v>
      </c>
      <c r="F21" s="372"/>
      <c r="G21" s="372">
        <v>0</v>
      </c>
      <c r="H21" s="372"/>
      <c r="I21" s="372">
        <v>0</v>
      </c>
      <c r="J21" s="372"/>
      <c r="K21" s="372">
        <v>0</v>
      </c>
      <c r="L21" s="372"/>
      <c r="M21" s="372">
        <v>24886531.089628495</v>
      </c>
      <c r="N21" s="372"/>
      <c r="O21" s="372">
        <v>0</v>
      </c>
      <c r="P21" s="372"/>
      <c r="Q21" s="372">
        <v>0</v>
      </c>
      <c r="R21" s="373"/>
      <c r="S21" s="374">
        <f t="shared" si="0"/>
        <v>24923617.197628494</v>
      </c>
    </row>
    <row r="22" spans="1:19" ht="14.4" thickBot="1" x14ac:dyDescent="0.35">
      <c r="A22" s="376"/>
      <c r="B22" s="377" t="s">
        <v>88</v>
      </c>
      <c r="C22" s="378">
        <f>SUM(C8:C21)</f>
        <v>29457417.131410576</v>
      </c>
      <c r="D22" s="378">
        <f t="shared" ref="D22:S22" si="1">SUM(D8:D21)</f>
        <v>0</v>
      </c>
      <c r="E22" s="378">
        <f t="shared" si="1"/>
        <v>9058522.4699999988</v>
      </c>
      <c r="F22" s="378">
        <f t="shared" si="1"/>
        <v>0</v>
      </c>
      <c r="G22" s="378">
        <f t="shared" si="1"/>
        <v>0</v>
      </c>
      <c r="H22" s="378">
        <f t="shared" si="1"/>
        <v>0</v>
      </c>
      <c r="I22" s="378">
        <f t="shared" si="1"/>
        <v>0</v>
      </c>
      <c r="J22" s="378">
        <f t="shared" si="1"/>
        <v>0</v>
      </c>
      <c r="K22" s="378">
        <f t="shared" si="1"/>
        <v>33168194.739999998</v>
      </c>
      <c r="L22" s="378">
        <f t="shared" si="1"/>
        <v>0</v>
      </c>
      <c r="M22" s="378">
        <f>SUM(M8:M21)</f>
        <v>137599149.89962849</v>
      </c>
      <c r="N22" s="378">
        <f t="shared" si="1"/>
        <v>6303597.6402633302</v>
      </c>
      <c r="O22" s="378">
        <f t="shared" si="1"/>
        <v>0</v>
      </c>
      <c r="P22" s="378">
        <f t="shared" si="1"/>
        <v>0</v>
      </c>
      <c r="Q22" s="378">
        <f t="shared" si="1"/>
        <v>0</v>
      </c>
      <c r="R22" s="378">
        <f t="shared" si="1"/>
        <v>0</v>
      </c>
      <c r="S22" s="379">
        <f t="shared" si="1"/>
        <v>170590598.08889183</v>
      </c>
    </row>
    <row r="24" spans="1:19" x14ac:dyDescent="0.3">
      <c r="C24" s="744"/>
      <c r="E24" s="744"/>
      <c r="G24" s="744"/>
      <c r="I24" s="744"/>
      <c r="K24" s="744"/>
      <c r="M24" s="744"/>
      <c r="N24" s="744"/>
      <c r="O24" s="744"/>
      <c r="Q24" s="744"/>
      <c r="R24" s="745"/>
      <c r="S24" s="161"/>
    </row>
    <row r="25" spans="1:19" x14ac:dyDescent="0.3">
      <c r="R25" s="261"/>
      <c r="S25" s="744"/>
    </row>
    <row r="26" spans="1:19" x14ac:dyDescent="0.3">
      <c r="R26" s="744"/>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0BA1-201D-4993-82AA-19D5665F32F6}">
  <dimension ref="A1:V28"/>
  <sheetViews>
    <sheetView zoomScaleNormal="100" workbookViewId="0">
      <pane xSplit="2" ySplit="6" topLeftCell="R7" activePane="bottomRight" state="frozen"/>
      <selection activeCell="B2" sqref="B2:C6"/>
      <selection pane="topRight" activeCell="B2" sqref="B2:C6"/>
      <selection pane="bottomLeft" activeCell="B2" sqref="B2:C6"/>
      <selection pane="bottomRight" activeCell="V8" sqref="V8"/>
    </sheetView>
  </sheetViews>
  <sheetFormatPr defaultColWidth="9.109375" defaultRowHeight="13.8" x14ac:dyDescent="0.3"/>
  <cols>
    <col min="1" max="1" width="10.5546875" style="20" bestFit="1" customWidth="1"/>
    <col min="2" max="2" width="74.5546875" style="20" customWidth="1"/>
    <col min="3" max="3" width="19" style="20" customWidth="1"/>
    <col min="4" max="4" width="19.5546875" style="20" customWidth="1"/>
    <col min="5" max="5" width="31.109375" style="20" customWidth="1"/>
    <col min="6" max="6" width="29.109375" style="20" customWidth="1"/>
    <col min="7" max="7" width="62.109375" style="20" customWidth="1"/>
    <col min="8" max="8" width="26.44140625" style="20" customWidth="1"/>
    <col min="9" max="9" width="23.6640625" style="20" customWidth="1"/>
    <col min="10" max="10" width="21.5546875" style="20" customWidth="1"/>
    <col min="11" max="11" width="15.6640625" style="20" customWidth="1"/>
    <col min="12" max="12" width="13.33203125" style="20" customWidth="1"/>
    <col min="13" max="13" width="20.88671875" style="20" customWidth="1"/>
    <col min="14" max="14" width="19.33203125" style="20" customWidth="1"/>
    <col min="15" max="15" width="18.44140625" style="20" customWidth="1"/>
    <col min="16" max="16" width="19" style="20" customWidth="1"/>
    <col min="17" max="17" width="20.33203125" style="20" customWidth="1"/>
    <col min="18" max="18" width="18" style="20" customWidth="1"/>
    <col min="19" max="19" width="36" style="20" customWidth="1"/>
    <col min="20" max="20" width="19.44140625" style="20" customWidth="1"/>
    <col min="21" max="21" width="19.109375" style="20" customWidth="1"/>
    <col min="22" max="22" width="20" style="20" customWidth="1"/>
    <col min="23" max="16384" width="9.109375" style="139"/>
  </cols>
  <sheetData>
    <row r="1" spans="1:22" x14ac:dyDescent="0.3">
      <c r="A1" s="20" t="s">
        <v>41</v>
      </c>
      <c r="B1" s="20" t="str">
        <f>Info!C2</f>
        <v>სს სილქ ბანკი</v>
      </c>
    </row>
    <row r="2" spans="1:22" x14ac:dyDescent="0.3">
      <c r="A2" s="20" t="s">
        <v>42</v>
      </c>
      <c r="B2" s="24">
        <f>'1. key ratios'!B2</f>
        <v>45747</v>
      </c>
    </row>
    <row r="4" spans="1:22" ht="40.5" customHeight="1" thickBot="1" x14ac:dyDescent="0.35">
      <c r="A4" s="20" t="s">
        <v>448</v>
      </c>
      <c r="B4" s="362" t="s">
        <v>449</v>
      </c>
      <c r="V4" s="325" t="s">
        <v>231</v>
      </c>
    </row>
    <row r="5" spans="1:22" x14ac:dyDescent="0.3">
      <c r="A5" s="380"/>
      <c r="B5" s="381"/>
      <c r="C5" s="862" t="s">
        <v>450</v>
      </c>
      <c r="D5" s="863"/>
      <c r="E5" s="863"/>
      <c r="F5" s="863"/>
      <c r="G5" s="863"/>
      <c r="H5" s="863"/>
      <c r="I5" s="863"/>
      <c r="J5" s="863"/>
      <c r="K5" s="863"/>
      <c r="L5" s="864"/>
      <c r="M5" s="862" t="s">
        <v>451</v>
      </c>
      <c r="N5" s="863"/>
      <c r="O5" s="863"/>
      <c r="P5" s="863"/>
      <c r="Q5" s="863"/>
      <c r="R5" s="863"/>
      <c r="S5" s="864"/>
      <c r="T5" s="865" t="s">
        <v>452</v>
      </c>
      <c r="U5" s="865" t="s">
        <v>453</v>
      </c>
      <c r="V5" s="867" t="s">
        <v>454</v>
      </c>
    </row>
    <row r="6" spans="1:22" s="265" customFormat="1" ht="138" x14ac:dyDescent="0.3">
      <c r="A6" s="215"/>
      <c r="B6" s="382"/>
      <c r="C6" s="383" t="s">
        <v>455</v>
      </c>
      <c r="D6" s="384" t="s">
        <v>456</v>
      </c>
      <c r="E6" s="385" t="s">
        <v>457</v>
      </c>
      <c r="F6" s="385" t="s">
        <v>458</v>
      </c>
      <c r="G6" s="384" t="s">
        <v>459</v>
      </c>
      <c r="H6" s="384" t="s">
        <v>460</v>
      </c>
      <c r="I6" s="384" t="s">
        <v>461</v>
      </c>
      <c r="J6" s="384" t="s">
        <v>462</v>
      </c>
      <c r="K6" s="384" t="s">
        <v>463</v>
      </c>
      <c r="L6" s="386" t="s">
        <v>464</v>
      </c>
      <c r="M6" s="383" t="s">
        <v>465</v>
      </c>
      <c r="N6" s="384" t="s">
        <v>466</v>
      </c>
      <c r="O6" s="384" t="s">
        <v>467</v>
      </c>
      <c r="P6" s="384" t="s">
        <v>468</v>
      </c>
      <c r="Q6" s="384" t="s">
        <v>469</v>
      </c>
      <c r="R6" s="384" t="s">
        <v>470</v>
      </c>
      <c r="S6" s="386" t="s">
        <v>471</v>
      </c>
      <c r="T6" s="866"/>
      <c r="U6" s="866"/>
      <c r="V6" s="868"/>
    </row>
    <row r="7" spans="1:22" x14ac:dyDescent="0.3">
      <c r="A7" s="387">
        <v>1</v>
      </c>
      <c r="B7" s="388" t="s">
        <v>434</v>
      </c>
      <c r="C7" s="389">
        <v>0</v>
      </c>
      <c r="D7" s="372">
        <v>0</v>
      </c>
      <c r="E7" s="372">
        <v>0</v>
      </c>
      <c r="F7" s="372">
        <v>0</v>
      </c>
      <c r="G7" s="372">
        <v>0</v>
      </c>
      <c r="H7" s="372">
        <v>0</v>
      </c>
      <c r="I7" s="372">
        <v>0</v>
      </c>
      <c r="J7" s="372">
        <v>0</v>
      </c>
      <c r="K7" s="372">
        <v>0</v>
      </c>
      <c r="L7" s="390">
        <v>0</v>
      </c>
      <c r="M7" s="389">
        <v>0</v>
      </c>
      <c r="N7" s="372">
        <v>0</v>
      </c>
      <c r="O7" s="372">
        <v>0</v>
      </c>
      <c r="P7" s="372">
        <v>0</v>
      </c>
      <c r="Q7" s="372">
        <v>0</v>
      </c>
      <c r="R7" s="372">
        <v>0</v>
      </c>
      <c r="S7" s="390">
        <v>0</v>
      </c>
      <c r="T7" s="391">
        <v>0</v>
      </c>
      <c r="U7" s="392">
        <v>0</v>
      </c>
      <c r="V7" s="393">
        <f>SUM(C7:U7)</f>
        <v>0</v>
      </c>
    </row>
    <row r="8" spans="1:22" x14ac:dyDescent="0.3">
      <c r="A8" s="387">
        <v>2</v>
      </c>
      <c r="B8" s="388" t="s">
        <v>435</v>
      </c>
      <c r="C8" s="389">
        <v>0</v>
      </c>
      <c r="D8" s="372">
        <v>0</v>
      </c>
      <c r="E8" s="372">
        <v>0</v>
      </c>
      <c r="F8" s="372">
        <v>0</v>
      </c>
      <c r="G8" s="372">
        <v>0</v>
      </c>
      <c r="H8" s="372">
        <v>0</v>
      </c>
      <c r="I8" s="372">
        <v>0</v>
      </c>
      <c r="J8" s="372">
        <v>0</v>
      </c>
      <c r="K8" s="372">
        <v>0</v>
      </c>
      <c r="L8" s="390">
        <v>0</v>
      </c>
      <c r="M8" s="389">
        <v>0</v>
      </c>
      <c r="N8" s="372">
        <v>0</v>
      </c>
      <c r="O8" s="372">
        <v>0</v>
      </c>
      <c r="P8" s="372">
        <v>0</v>
      </c>
      <c r="Q8" s="372">
        <v>0</v>
      </c>
      <c r="R8" s="372">
        <v>0</v>
      </c>
      <c r="S8" s="390">
        <v>0</v>
      </c>
      <c r="T8" s="392">
        <v>0</v>
      </c>
      <c r="U8" s="392">
        <v>0</v>
      </c>
      <c r="V8" s="393">
        <f>SUM(C8:S8)</f>
        <v>0</v>
      </c>
    </row>
    <row r="9" spans="1:22" x14ac:dyDescent="0.3">
      <c r="A9" s="387">
        <v>3</v>
      </c>
      <c r="B9" s="388" t="s">
        <v>436</v>
      </c>
      <c r="C9" s="389">
        <v>0</v>
      </c>
      <c r="D9" s="372">
        <v>0</v>
      </c>
      <c r="E9" s="372">
        <v>0</v>
      </c>
      <c r="F9" s="372">
        <v>0</v>
      </c>
      <c r="G9" s="372">
        <v>0</v>
      </c>
      <c r="H9" s="372">
        <v>0</v>
      </c>
      <c r="I9" s="372">
        <v>0</v>
      </c>
      <c r="J9" s="372">
        <v>0</v>
      </c>
      <c r="K9" s="372">
        <v>0</v>
      </c>
      <c r="L9" s="390">
        <v>0</v>
      </c>
      <c r="M9" s="389">
        <v>0</v>
      </c>
      <c r="N9" s="372">
        <v>0</v>
      </c>
      <c r="O9" s="372">
        <v>0</v>
      </c>
      <c r="P9" s="372">
        <v>0</v>
      </c>
      <c r="Q9" s="372">
        <v>0</v>
      </c>
      <c r="R9" s="372">
        <v>0</v>
      </c>
      <c r="S9" s="390">
        <v>0</v>
      </c>
      <c r="T9" s="392">
        <v>0</v>
      </c>
      <c r="U9" s="392">
        <v>0</v>
      </c>
      <c r="V9" s="393">
        <f t="shared" ref="V9:V20" si="0">SUM(C9:U9)</f>
        <v>0</v>
      </c>
    </row>
    <row r="10" spans="1:22" x14ac:dyDescent="0.3">
      <c r="A10" s="387">
        <v>4</v>
      </c>
      <c r="B10" s="388" t="s">
        <v>437</v>
      </c>
      <c r="C10" s="389">
        <v>0</v>
      </c>
      <c r="D10" s="372">
        <v>0</v>
      </c>
      <c r="E10" s="372">
        <v>0</v>
      </c>
      <c r="F10" s="372">
        <v>0</v>
      </c>
      <c r="G10" s="372">
        <v>0</v>
      </c>
      <c r="H10" s="372">
        <v>0</v>
      </c>
      <c r="I10" s="372">
        <v>0</v>
      </c>
      <c r="J10" s="372">
        <v>0</v>
      </c>
      <c r="K10" s="372">
        <v>0</v>
      </c>
      <c r="L10" s="390">
        <v>0</v>
      </c>
      <c r="M10" s="389">
        <v>0</v>
      </c>
      <c r="N10" s="372">
        <v>0</v>
      </c>
      <c r="O10" s="372">
        <v>0</v>
      </c>
      <c r="P10" s="372">
        <v>0</v>
      </c>
      <c r="Q10" s="372">
        <v>0</v>
      </c>
      <c r="R10" s="372">
        <v>0</v>
      </c>
      <c r="S10" s="390">
        <v>0</v>
      </c>
      <c r="T10" s="392">
        <v>0</v>
      </c>
      <c r="U10" s="392">
        <v>0</v>
      </c>
      <c r="V10" s="393">
        <f t="shared" si="0"/>
        <v>0</v>
      </c>
    </row>
    <row r="11" spans="1:22" x14ac:dyDescent="0.3">
      <c r="A11" s="387">
        <v>5</v>
      </c>
      <c r="B11" s="388" t="s">
        <v>438</v>
      </c>
      <c r="C11" s="389">
        <v>0</v>
      </c>
      <c r="D11" s="372">
        <v>0</v>
      </c>
      <c r="E11" s="372">
        <v>0</v>
      </c>
      <c r="F11" s="372">
        <v>0</v>
      </c>
      <c r="G11" s="372">
        <v>0</v>
      </c>
      <c r="H11" s="372">
        <v>0</v>
      </c>
      <c r="I11" s="372">
        <v>0</v>
      </c>
      <c r="J11" s="372">
        <v>0</v>
      </c>
      <c r="K11" s="372">
        <v>0</v>
      </c>
      <c r="L11" s="390">
        <v>0</v>
      </c>
      <c r="M11" s="389">
        <v>0</v>
      </c>
      <c r="N11" s="372">
        <v>0</v>
      </c>
      <c r="O11" s="372">
        <v>0</v>
      </c>
      <c r="P11" s="372">
        <v>0</v>
      </c>
      <c r="Q11" s="372">
        <v>0</v>
      </c>
      <c r="R11" s="372">
        <v>0</v>
      </c>
      <c r="S11" s="390">
        <v>0</v>
      </c>
      <c r="T11" s="392">
        <v>0</v>
      </c>
      <c r="U11" s="392">
        <v>0</v>
      </c>
      <c r="V11" s="393">
        <f t="shared" si="0"/>
        <v>0</v>
      </c>
    </row>
    <row r="12" spans="1:22" x14ac:dyDescent="0.3">
      <c r="A12" s="387">
        <v>6</v>
      </c>
      <c r="B12" s="388" t="s">
        <v>439</v>
      </c>
      <c r="C12" s="389">
        <v>0</v>
      </c>
      <c r="D12" s="372">
        <v>0</v>
      </c>
      <c r="E12" s="372">
        <v>0</v>
      </c>
      <c r="F12" s="372">
        <v>0</v>
      </c>
      <c r="G12" s="372">
        <v>0</v>
      </c>
      <c r="H12" s="372">
        <v>0</v>
      </c>
      <c r="I12" s="372">
        <v>0</v>
      </c>
      <c r="J12" s="372">
        <v>0</v>
      </c>
      <c r="K12" s="372">
        <v>0</v>
      </c>
      <c r="L12" s="390">
        <v>0</v>
      </c>
      <c r="M12" s="389">
        <v>0</v>
      </c>
      <c r="N12" s="372">
        <v>0</v>
      </c>
      <c r="O12" s="372">
        <v>0</v>
      </c>
      <c r="P12" s="372">
        <v>0</v>
      </c>
      <c r="Q12" s="372">
        <v>0</v>
      </c>
      <c r="R12" s="372">
        <v>0</v>
      </c>
      <c r="S12" s="390">
        <v>0</v>
      </c>
      <c r="T12" s="392">
        <v>0</v>
      </c>
      <c r="U12" s="392">
        <v>0</v>
      </c>
      <c r="V12" s="393">
        <f t="shared" si="0"/>
        <v>0</v>
      </c>
    </row>
    <row r="13" spans="1:22" x14ac:dyDescent="0.3">
      <c r="A13" s="387">
        <v>7</v>
      </c>
      <c r="B13" s="388" t="s">
        <v>440</v>
      </c>
      <c r="C13" s="389">
        <v>0</v>
      </c>
      <c r="D13" s="372">
        <v>1562343.65</v>
      </c>
      <c r="E13" s="372">
        <v>0</v>
      </c>
      <c r="F13" s="372">
        <v>0</v>
      </c>
      <c r="G13" s="372">
        <v>0</v>
      </c>
      <c r="H13" s="372">
        <v>0</v>
      </c>
      <c r="I13" s="372">
        <v>0</v>
      </c>
      <c r="J13" s="372">
        <v>0</v>
      </c>
      <c r="K13" s="372">
        <v>0</v>
      </c>
      <c r="L13" s="390">
        <v>0</v>
      </c>
      <c r="M13" s="389">
        <v>0</v>
      </c>
      <c r="N13" s="372">
        <v>0</v>
      </c>
      <c r="O13" s="372">
        <v>0</v>
      </c>
      <c r="P13" s="372">
        <v>0</v>
      </c>
      <c r="Q13" s="372">
        <v>0</v>
      </c>
      <c r="R13" s="372">
        <v>0</v>
      </c>
      <c r="S13" s="390">
        <v>0</v>
      </c>
      <c r="T13" s="392">
        <v>0</v>
      </c>
      <c r="U13" s="392">
        <v>139194.07999999999</v>
      </c>
      <c r="V13" s="393">
        <f t="shared" si="0"/>
        <v>1701537.73</v>
      </c>
    </row>
    <row r="14" spans="1:22" x14ac:dyDescent="0.3">
      <c r="A14" s="387">
        <v>8</v>
      </c>
      <c r="B14" s="388" t="s">
        <v>441</v>
      </c>
      <c r="C14" s="389">
        <v>0</v>
      </c>
      <c r="D14" s="372">
        <v>2375059.61</v>
      </c>
      <c r="E14" s="372">
        <v>0</v>
      </c>
      <c r="F14" s="372">
        <v>0</v>
      </c>
      <c r="G14" s="372">
        <v>0</v>
      </c>
      <c r="H14" s="372">
        <v>0</v>
      </c>
      <c r="I14" s="372">
        <v>0</v>
      </c>
      <c r="J14" s="372">
        <v>0</v>
      </c>
      <c r="K14" s="372">
        <v>0</v>
      </c>
      <c r="L14" s="390">
        <v>0</v>
      </c>
      <c r="M14" s="389">
        <v>0</v>
      </c>
      <c r="N14" s="372">
        <v>0</v>
      </c>
      <c r="O14" s="372">
        <v>0</v>
      </c>
      <c r="P14" s="372">
        <v>0</v>
      </c>
      <c r="Q14" s="372">
        <v>0</v>
      </c>
      <c r="R14" s="372">
        <v>0</v>
      </c>
      <c r="S14" s="390">
        <v>0</v>
      </c>
      <c r="T14" s="392">
        <v>0</v>
      </c>
      <c r="U14" s="392">
        <v>0</v>
      </c>
      <c r="V14" s="393">
        <f t="shared" si="0"/>
        <v>2375059.61</v>
      </c>
    </row>
    <row r="15" spans="1:22" x14ac:dyDescent="0.3">
      <c r="A15" s="387">
        <v>9</v>
      </c>
      <c r="B15" s="388" t="s">
        <v>442</v>
      </c>
      <c r="C15" s="389">
        <v>0</v>
      </c>
      <c r="D15" s="372">
        <v>0</v>
      </c>
      <c r="E15" s="372">
        <v>0</v>
      </c>
      <c r="F15" s="372">
        <v>0</v>
      </c>
      <c r="G15" s="372">
        <v>0</v>
      </c>
      <c r="H15" s="372">
        <v>0</v>
      </c>
      <c r="I15" s="372">
        <v>0</v>
      </c>
      <c r="J15" s="372">
        <v>0</v>
      </c>
      <c r="K15" s="372">
        <v>0</v>
      </c>
      <c r="L15" s="390">
        <v>0</v>
      </c>
      <c r="M15" s="389">
        <v>0</v>
      </c>
      <c r="N15" s="372">
        <v>0</v>
      </c>
      <c r="O15" s="372">
        <v>0</v>
      </c>
      <c r="P15" s="372">
        <v>0</v>
      </c>
      <c r="Q15" s="372">
        <v>0</v>
      </c>
      <c r="R15" s="372">
        <v>0</v>
      </c>
      <c r="S15" s="390">
        <v>0</v>
      </c>
      <c r="T15" s="392">
        <v>0</v>
      </c>
      <c r="U15" s="392">
        <v>0</v>
      </c>
      <c r="V15" s="393">
        <f t="shared" si="0"/>
        <v>0</v>
      </c>
    </row>
    <row r="16" spans="1:22" x14ac:dyDescent="0.3">
      <c r="A16" s="387">
        <v>10</v>
      </c>
      <c r="B16" s="388" t="s">
        <v>443</v>
      </c>
      <c r="C16" s="389">
        <v>0</v>
      </c>
      <c r="D16" s="372">
        <v>0</v>
      </c>
      <c r="E16" s="372">
        <v>0</v>
      </c>
      <c r="F16" s="372">
        <v>0</v>
      </c>
      <c r="G16" s="372">
        <v>0</v>
      </c>
      <c r="H16" s="372">
        <v>0</v>
      </c>
      <c r="I16" s="372">
        <v>0</v>
      </c>
      <c r="J16" s="372">
        <v>0</v>
      </c>
      <c r="K16" s="372">
        <v>0</v>
      </c>
      <c r="L16" s="390">
        <v>0</v>
      </c>
      <c r="M16" s="389">
        <v>0</v>
      </c>
      <c r="N16" s="372">
        <v>0</v>
      </c>
      <c r="O16" s="372">
        <v>0</v>
      </c>
      <c r="P16" s="372">
        <v>0</v>
      </c>
      <c r="Q16" s="372">
        <v>0</v>
      </c>
      <c r="R16" s="372">
        <v>0</v>
      </c>
      <c r="S16" s="390">
        <v>0</v>
      </c>
      <c r="T16" s="392">
        <v>0</v>
      </c>
      <c r="U16" s="392">
        <v>0</v>
      </c>
      <c r="V16" s="393">
        <f t="shared" si="0"/>
        <v>0</v>
      </c>
    </row>
    <row r="17" spans="1:22" x14ac:dyDescent="0.3">
      <c r="A17" s="387">
        <v>11</v>
      </c>
      <c r="B17" s="388" t="s">
        <v>444</v>
      </c>
      <c r="C17" s="389">
        <v>0</v>
      </c>
      <c r="D17" s="372">
        <v>0</v>
      </c>
      <c r="E17" s="372">
        <v>0</v>
      </c>
      <c r="F17" s="372">
        <v>0</v>
      </c>
      <c r="G17" s="372">
        <v>0</v>
      </c>
      <c r="H17" s="372">
        <v>0</v>
      </c>
      <c r="I17" s="372">
        <v>0</v>
      </c>
      <c r="J17" s="372">
        <v>0</v>
      </c>
      <c r="K17" s="372">
        <v>0</v>
      </c>
      <c r="L17" s="390">
        <v>0</v>
      </c>
      <c r="M17" s="389">
        <v>0</v>
      </c>
      <c r="N17" s="372">
        <v>0</v>
      </c>
      <c r="O17" s="372">
        <v>0</v>
      </c>
      <c r="P17" s="372">
        <v>0</v>
      </c>
      <c r="Q17" s="372">
        <v>0</v>
      </c>
      <c r="R17" s="372">
        <v>0</v>
      </c>
      <c r="S17" s="390">
        <v>0</v>
      </c>
      <c r="T17" s="392">
        <v>0</v>
      </c>
      <c r="U17" s="392">
        <v>0</v>
      </c>
      <c r="V17" s="393">
        <f t="shared" si="0"/>
        <v>0</v>
      </c>
    </row>
    <row r="18" spans="1:22" x14ac:dyDescent="0.3">
      <c r="A18" s="387">
        <v>12</v>
      </c>
      <c r="B18" s="388" t="s">
        <v>445</v>
      </c>
      <c r="C18" s="389">
        <v>0</v>
      </c>
      <c r="D18" s="372">
        <v>0</v>
      </c>
      <c r="E18" s="372">
        <v>0</v>
      </c>
      <c r="F18" s="372">
        <v>0</v>
      </c>
      <c r="G18" s="372">
        <v>0</v>
      </c>
      <c r="H18" s="372">
        <v>0</v>
      </c>
      <c r="I18" s="372">
        <v>0</v>
      </c>
      <c r="J18" s="372">
        <v>0</v>
      </c>
      <c r="K18" s="372">
        <v>0</v>
      </c>
      <c r="L18" s="390">
        <v>0</v>
      </c>
      <c r="M18" s="389">
        <v>0</v>
      </c>
      <c r="N18" s="372">
        <v>0</v>
      </c>
      <c r="O18" s="372">
        <v>0</v>
      </c>
      <c r="P18" s="372">
        <v>0</v>
      </c>
      <c r="Q18" s="372">
        <v>0</v>
      </c>
      <c r="R18" s="372">
        <v>0</v>
      </c>
      <c r="S18" s="390">
        <v>0</v>
      </c>
      <c r="T18" s="392">
        <v>0</v>
      </c>
      <c r="U18" s="392">
        <v>0</v>
      </c>
      <c r="V18" s="393">
        <f t="shared" si="0"/>
        <v>0</v>
      </c>
    </row>
    <row r="19" spans="1:22" x14ac:dyDescent="0.3">
      <c r="A19" s="387">
        <v>13</v>
      </c>
      <c r="B19" s="388" t="s">
        <v>446</v>
      </c>
      <c r="C19" s="389">
        <v>0</v>
      </c>
      <c r="D19" s="372">
        <v>0</v>
      </c>
      <c r="E19" s="372">
        <v>0</v>
      </c>
      <c r="F19" s="372">
        <v>0</v>
      </c>
      <c r="G19" s="372">
        <v>0</v>
      </c>
      <c r="H19" s="372">
        <v>0</v>
      </c>
      <c r="I19" s="372">
        <v>0</v>
      </c>
      <c r="J19" s="372">
        <v>0</v>
      </c>
      <c r="K19" s="372">
        <v>0</v>
      </c>
      <c r="L19" s="390">
        <v>0</v>
      </c>
      <c r="M19" s="389">
        <v>0</v>
      </c>
      <c r="N19" s="372">
        <v>0</v>
      </c>
      <c r="O19" s="372">
        <v>0</v>
      </c>
      <c r="P19" s="372">
        <v>0</v>
      </c>
      <c r="Q19" s="372">
        <v>0</v>
      </c>
      <c r="R19" s="372">
        <v>0</v>
      </c>
      <c r="S19" s="390">
        <v>0</v>
      </c>
      <c r="T19" s="392">
        <v>0</v>
      </c>
      <c r="U19" s="392">
        <v>0</v>
      </c>
      <c r="V19" s="393">
        <f t="shared" si="0"/>
        <v>0</v>
      </c>
    </row>
    <row r="20" spans="1:22" x14ac:dyDescent="0.3">
      <c r="A20" s="387">
        <v>14</v>
      </c>
      <c r="B20" s="388" t="s">
        <v>447</v>
      </c>
      <c r="C20" s="389">
        <v>0</v>
      </c>
      <c r="D20" s="372">
        <v>0</v>
      </c>
      <c r="E20" s="372">
        <v>0</v>
      </c>
      <c r="F20" s="372">
        <v>0</v>
      </c>
      <c r="G20" s="372">
        <v>0</v>
      </c>
      <c r="H20" s="372">
        <v>0</v>
      </c>
      <c r="I20" s="372">
        <v>0</v>
      </c>
      <c r="J20" s="372">
        <v>0</v>
      </c>
      <c r="K20" s="372">
        <v>0</v>
      </c>
      <c r="L20" s="390">
        <v>0</v>
      </c>
      <c r="M20" s="389">
        <v>0</v>
      </c>
      <c r="N20" s="372">
        <v>0</v>
      </c>
      <c r="O20" s="372">
        <v>0</v>
      </c>
      <c r="P20" s="372">
        <v>0</v>
      </c>
      <c r="Q20" s="372">
        <v>0</v>
      </c>
      <c r="R20" s="372">
        <v>0</v>
      </c>
      <c r="S20" s="390">
        <v>0</v>
      </c>
      <c r="T20" s="392">
        <v>0</v>
      </c>
      <c r="U20" s="392">
        <v>0</v>
      </c>
      <c r="V20" s="393">
        <f t="shared" si="0"/>
        <v>0</v>
      </c>
    </row>
    <row r="21" spans="1:22" ht="14.4" thickBot="1" x14ac:dyDescent="0.35">
      <c r="A21" s="376"/>
      <c r="B21" s="394" t="s">
        <v>88</v>
      </c>
      <c r="C21" s="395">
        <f>SUM(C7:C20)</f>
        <v>0</v>
      </c>
      <c r="D21" s="378">
        <f t="shared" ref="D21:V21" si="1">SUM(D7:D20)</f>
        <v>3937403.26</v>
      </c>
      <c r="E21" s="378">
        <f t="shared" si="1"/>
        <v>0</v>
      </c>
      <c r="F21" s="378">
        <f t="shared" si="1"/>
        <v>0</v>
      </c>
      <c r="G21" s="378">
        <f t="shared" si="1"/>
        <v>0</v>
      </c>
      <c r="H21" s="378">
        <f t="shared" si="1"/>
        <v>0</v>
      </c>
      <c r="I21" s="378">
        <f t="shared" si="1"/>
        <v>0</v>
      </c>
      <c r="J21" s="378">
        <f t="shared" si="1"/>
        <v>0</v>
      </c>
      <c r="K21" s="378">
        <f t="shared" si="1"/>
        <v>0</v>
      </c>
      <c r="L21" s="396">
        <f t="shared" si="1"/>
        <v>0</v>
      </c>
      <c r="M21" s="395">
        <f t="shared" si="1"/>
        <v>0</v>
      </c>
      <c r="N21" s="378">
        <f t="shared" si="1"/>
        <v>0</v>
      </c>
      <c r="O21" s="378">
        <f t="shared" si="1"/>
        <v>0</v>
      </c>
      <c r="P21" s="378">
        <f t="shared" si="1"/>
        <v>0</v>
      </c>
      <c r="Q21" s="378">
        <f t="shared" si="1"/>
        <v>0</v>
      </c>
      <c r="R21" s="378">
        <f t="shared" si="1"/>
        <v>0</v>
      </c>
      <c r="S21" s="396">
        <f t="shared" si="1"/>
        <v>0</v>
      </c>
      <c r="T21" s="396">
        <f>SUM(T7:T20)</f>
        <v>0</v>
      </c>
      <c r="U21" s="396">
        <f t="shared" si="1"/>
        <v>139194.07999999999</v>
      </c>
      <c r="V21" s="397">
        <f t="shared" si="1"/>
        <v>4076597.34</v>
      </c>
    </row>
    <row r="22" spans="1:22" x14ac:dyDescent="0.3">
      <c r="B22" s="162"/>
    </row>
    <row r="24" spans="1:22" x14ac:dyDescent="0.3">
      <c r="C24" s="398"/>
      <c r="D24" s="398"/>
      <c r="E24" s="398"/>
    </row>
    <row r="25" spans="1:22" x14ac:dyDescent="0.3">
      <c r="A25" s="210"/>
      <c r="B25" s="210"/>
      <c r="D25" s="398"/>
      <c r="E25" s="398"/>
    </row>
    <row r="26" spans="1:22" x14ac:dyDescent="0.3">
      <c r="A26" s="210"/>
      <c r="B26" s="399"/>
      <c r="D26" s="398"/>
      <c r="E26" s="398"/>
    </row>
    <row r="27" spans="1:22" x14ac:dyDescent="0.3">
      <c r="A27" s="210"/>
      <c r="B27" s="210"/>
      <c r="D27" s="398"/>
      <c r="E27" s="398"/>
    </row>
    <row r="28" spans="1:22" x14ac:dyDescent="0.3">
      <c r="A28" s="210"/>
      <c r="B28" s="399"/>
      <c r="D28" s="398"/>
      <c r="E28" s="398"/>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D7A-7923-477B-94DA-CC0B9654DB9C}">
  <dimension ref="A1:I27"/>
  <sheetViews>
    <sheetView zoomScaleNormal="100" workbookViewId="0">
      <pane xSplit="1" ySplit="7" topLeftCell="D8" activePane="bottomRight" state="frozen"/>
      <selection activeCell="B2" sqref="B2:C6"/>
      <selection pane="topRight" activeCell="B2" sqref="B2:C6"/>
      <selection pane="bottomLeft" activeCell="B2" sqref="B2:C6"/>
      <selection pane="bottomRight" activeCell="N16" sqref="N16"/>
    </sheetView>
  </sheetViews>
  <sheetFormatPr defaultColWidth="9.109375" defaultRowHeight="13.8" x14ac:dyDescent="0.3"/>
  <cols>
    <col min="1" max="1" width="10.5546875" style="20" bestFit="1" customWidth="1"/>
    <col min="2" max="2" width="101.88671875" style="20" customWidth="1"/>
    <col min="3" max="3" width="14.77734375" style="20" customWidth="1"/>
    <col min="4" max="4" width="14.88671875" style="20" bestFit="1" customWidth="1"/>
    <col min="5" max="5" width="17.6640625" style="20" customWidth="1"/>
    <col min="6" max="6" width="22.5546875" style="20" customWidth="1"/>
    <col min="7" max="7" width="22.88671875" style="20" customWidth="1"/>
    <col min="8" max="8" width="15.33203125" style="20" customWidth="1"/>
    <col min="9" max="16384" width="9.109375" style="139"/>
  </cols>
  <sheetData>
    <row r="1" spans="1:9" x14ac:dyDescent="0.3">
      <c r="A1" s="20" t="s">
        <v>41</v>
      </c>
      <c r="B1" s="20" t="str">
        <f>Info!C2</f>
        <v>სს სილქ ბანკი</v>
      </c>
    </row>
    <row r="2" spans="1:9" x14ac:dyDescent="0.3">
      <c r="A2" s="20" t="s">
        <v>42</v>
      </c>
      <c r="B2" s="24">
        <f>'1. key ratios'!B2</f>
        <v>45747</v>
      </c>
    </row>
    <row r="4" spans="1:9" ht="40.5" customHeight="1" thickBot="1" x14ac:dyDescent="0.35">
      <c r="A4" s="20" t="s">
        <v>472</v>
      </c>
      <c r="B4" s="231" t="s">
        <v>473</v>
      </c>
    </row>
    <row r="5" spans="1:9" x14ac:dyDescent="0.3">
      <c r="A5" s="380"/>
      <c r="B5" s="400"/>
      <c r="C5" s="401" t="s">
        <v>278</v>
      </c>
      <c r="D5" s="401" t="s">
        <v>279</v>
      </c>
      <c r="E5" s="401" t="s">
        <v>280</v>
      </c>
      <c r="F5" s="401" t="s">
        <v>416</v>
      </c>
      <c r="G5" s="402" t="s">
        <v>417</v>
      </c>
      <c r="H5" s="403" t="s">
        <v>418</v>
      </c>
      <c r="I5" s="404"/>
    </row>
    <row r="6" spans="1:9" ht="15" customHeight="1" x14ac:dyDescent="0.3">
      <c r="A6" s="368"/>
      <c r="B6" s="405"/>
      <c r="C6" s="860" t="s">
        <v>474</v>
      </c>
      <c r="D6" s="869" t="s">
        <v>475</v>
      </c>
      <c r="E6" s="870"/>
      <c r="F6" s="860" t="s">
        <v>476</v>
      </c>
      <c r="G6" s="860" t="s">
        <v>477</v>
      </c>
      <c r="H6" s="871" t="s">
        <v>478</v>
      </c>
      <c r="I6" s="404"/>
    </row>
    <row r="7" spans="1:9" ht="69" x14ac:dyDescent="0.3">
      <c r="A7" s="368"/>
      <c r="B7" s="405"/>
      <c r="C7" s="861"/>
      <c r="D7" s="200" t="s">
        <v>479</v>
      </c>
      <c r="E7" s="200" t="s">
        <v>480</v>
      </c>
      <c r="F7" s="861"/>
      <c r="G7" s="861"/>
      <c r="H7" s="872"/>
      <c r="I7" s="404"/>
    </row>
    <row r="8" spans="1:9" x14ac:dyDescent="0.3">
      <c r="A8" s="406">
        <v>1</v>
      </c>
      <c r="B8" s="245" t="s">
        <v>434</v>
      </c>
      <c r="C8" s="804">
        <v>28121059.771410577</v>
      </c>
      <c r="D8" s="804"/>
      <c r="E8" s="804"/>
      <c r="F8" s="804">
        <v>2920806.1</v>
      </c>
      <c r="G8" s="805">
        <v>2920806.1</v>
      </c>
      <c r="H8" s="806">
        <f>G8/(C8+E8)</f>
        <v>0.10386543479308888</v>
      </c>
    </row>
    <row r="9" spans="1:9" ht="15" customHeight="1" x14ac:dyDescent="0.3">
      <c r="A9" s="406">
        <v>2</v>
      </c>
      <c r="B9" s="245" t="s">
        <v>435</v>
      </c>
      <c r="C9" s="804">
        <v>0</v>
      </c>
      <c r="D9" s="804"/>
      <c r="E9" s="804"/>
      <c r="F9" s="804">
        <v>0</v>
      </c>
      <c r="G9" s="805">
        <v>0</v>
      </c>
      <c r="H9" s="806" t="e">
        <f t="shared" ref="H9:H21" si="0">G9/(C9+E9)</f>
        <v>#DIV/0!</v>
      </c>
    </row>
    <row r="10" spans="1:9" x14ac:dyDescent="0.3">
      <c r="A10" s="406">
        <v>3</v>
      </c>
      <c r="B10" s="245" t="s">
        <v>436</v>
      </c>
      <c r="C10" s="804">
        <v>0</v>
      </c>
      <c r="D10" s="804"/>
      <c r="E10" s="804"/>
      <c r="F10" s="804">
        <v>0</v>
      </c>
      <c r="G10" s="805">
        <v>0</v>
      </c>
      <c r="H10" s="806" t="e">
        <f t="shared" si="0"/>
        <v>#DIV/0!</v>
      </c>
    </row>
    <row r="11" spans="1:9" x14ac:dyDescent="0.3">
      <c r="A11" s="406">
        <v>4</v>
      </c>
      <c r="B11" s="245" t="s">
        <v>437</v>
      </c>
      <c r="C11" s="804">
        <v>0</v>
      </c>
      <c r="D11" s="804"/>
      <c r="E11" s="804"/>
      <c r="F11" s="804">
        <v>0</v>
      </c>
      <c r="G11" s="805">
        <v>0</v>
      </c>
      <c r="H11" s="806" t="e">
        <f t="shared" si="0"/>
        <v>#DIV/0!</v>
      </c>
    </row>
    <row r="12" spans="1:9" x14ac:dyDescent="0.3">
      <c r="A12" s="406">
        <v>5</v>
      </c>
      <c r="B12" s="245" t="s">
        <v>438</v>
      </c>
      <c r="C12" s="804">
        <v>0</v>
      </c>
      <c r="D12" s="804"/>
      <c r="E12" s="804"/>
      <c r="F12" s="804">
        <v>0</v>
      </c>
      <c r="G12" s="805">
        <v>0</v>
      </c>
      <c r="H12" s="806" t="e">
        <f t="shared" si="0"/>
        <v>#DIV/0!</v>
      </c>
    </row>
    <row r="13" spans="1:9" x14ac:dyDescent="0.3">
      <c r="A13" s="406">
        <v>6</v>
      </c>
      <c r="B13" s="245" t="s">
        <v>439</v>
      </c>
      <c r="C13" s="804">
        <v>22197608.489999995</v>
      </c>
      <c r="D13" s="804"/>
      <c r="E13" s="804"/>
      <c r="F13" s="804">
        <v>15099134.945999995</v>
      </c>
      <c r="G13" s="805">
        <v>15099134.945999995</v>
      </c>
      <c r="H13" s="806">
        <f t="shared" si="0"/>
        <v>0.68021449034936099</v>
      </c>
    </row>
    <row r="14" spans="1:9" x14ac:dyDescent="0.3">
      <c r="A14" s="406">
        <v>7</v>
      </c>
      <c r="B14" s="245" t="s">
        <v>440</v>
      </c>
      <c r="C14" s="804">
        <v>80776330.680000007</v>
      </c>
      <c r="D14" s="804">
        <v>23601734.677524239</v>
      </c>
      <c r="E14" s="804">
        <v>6303597.6402633302</v>
      </c>
      <c r="F14" s="804">
        <v>80776330.680000007</v>
      </c>
      <c r="G14" s="805">
        <v>79213987.030000001</v>
      </c>
      <c r="H14" s="806">
        <f>G14/(C14+E14)</f>
        <v>0.90966986948664097</v>
      </c>
    </row>
    <row r="15" spans="1:9" x14ac:dyDescent="0.3">
      <c r="A15" s="406">
        <v>8</v>
      </c>
      <c r="B15" s="245" t="s">
        <v>441</v>
      </c>
      <c r="C15" s="804">
        <v>48178318.93</v>
      </c>
      <c r="D15" s="804"/>
      <c r="E15" s="804"/>
      <c r="F15" s="804">
        <v>39886270.244999997</v>
      </c>
      <c r="G15" s="805">
        <v>37511210.634999998</v>
      </c>
      <c r="H15" s="806">
        <f t="shared" si="0"/>
        <v>0.77859110629205175</v>
      </c>
    </row>
    <row r="16" spans="1:9" x14ac:dyDescent="0.3">
      <c r="A16" s="406">
        <v>9</v>
      </c>
      <c r="B16" s="245" t="s">
        <v>442</v>
      </c>
      <c r="C16" s="804">
        <v>0</v>
      </c>
      <c r="D16" s="804"/>
      <c r="E16" s="804"/>
      <c r="F16" s="804">
        <v>0</v>
      </c>
      <c r="G16" s="805">
        <v>0</v>
      </c>
      <c r="H16" s="806" t="e">
        <f t="shared" si="0"/>
        <v>#DIV/0!</v>
      </c>
    </row>
    <row r="17" spans="1:8" x14ac:dyDescent="0.3">
      <c r="A17" s="406">
        <v>10</v>
      </c>
      <c r="B17" s="245" t="s">
        <v>443</v>
      </c>
      <c r="C17" s="804">
        <v>680841.28</v>
      </c>
      <c r="D17" s="804"/>
      <c r="E17" s="804"/>
      <c r="F17" s="804">
        <v>680841.28</v>
      </c>
      <c r="G17" s="805">
        <v>680841.28</v>
      </c>
      <c r="H17" s="806">
        <f t="shared" si="0"/>
        <v>1</v>
      </c>
    </row>
    <row r="18" spans="1:8" x14ac:dyDescent="0.3">
      <c r="A18" s="406">
        <v>11</v>
      </c>
      <c r="B18" s="245" t="s">
        <v>444</v>
      </c>
      <c r="C18" s="804">
        <v>0</v>
      </c>
      <c r="D18" s="804"/>
      <c r="E18" s="804"/>
      <c r="F18" s="804">
        <v>0</v>
      </c>
      <c r="G18" s="805">
        <v>0</v>
      </c>
      <c r="H18" s="806" t="e">
        <f t="shared" si="0"/>
        <v>#DIV/0!</v>
      </c>
    </row>
    <row r="19" spans="1:8" x14ac:dyDescent="0.3">
      <c r="A19" s="406">
        <v>12</v>
      </c>
      <c r="B19" s="245" t="s">
        <v>445</v>
      </c>
      <c r="C19" s="804">
        <v>0</v>
      </c>
      <c r="D19" s="804"/>
      <c r="E19" s="804"/>
      <c r="F19" s="804">
        <v>0</v>
      </c>
      <c r="G19" s="805">
        <v>0</v>
      </c>
      <c r="H19" s="806" t="e">
        <f t="shared" si="0"/>
        <v>#DIV/0!</v>
      </c>
    </row>
    <row r="20" spans="1:8" x14ac:dyDescent="0.3">
      <c r="A20" s="406">
        <v>13</v>
      </c>
      <c r="B20" s="245" t="s">
        <v>446</v>
      </c>
      <c r="C20" s="804">
        <v>0</v>
      </c>
      <c r="D20" s="804"/>
      <c r="E20" s="804"/>
      <c r="F20" s="804">
        <v>0</v>
      </c>
      <c r="G20" s="805">
        <v>0</v>
      </c>
      <c r="H20" s="806" t="e">
        <f t="shared" si="0"/>
        <v>#DIV/0!</v>
      </c>
    </row>
    <row r="21" spans="1:8" x14ac:dyDescent="0.3">
      <c r="A21" s="406">
        <v>14</v>
      </c>
      <c r="B21" s="245" t="s">
        <v>447</v>
      </c>
      <c r="C21" s="804">
        <v>29329125.089628495</v>
      </c>
      <c r="D21" s="804"/>
      <c r="E21" s="804"/>
      <c r="F21" s="804">
        <v>24923617.197628494</v>
      </c>
      <c r="G21" s="805">
        <v>24923617.197628494</v>
      </c>
      <c r="H21" s="806">
        <f t="shared" si="0"/>
        <v>0.84979068149707959</v>
      </c>
    </row>
    <row r="22" spans="1:8" ht="14.4" thickBot="1" x14ac:dyDescent="0.35">
      <c r="A22" s="407"/>
      <c r="B22" s="408" t="s">
        <v>88</v>
      </c>
      <c r="C22" s="807">
        <f>SUM(C8:C21)</f>
        <v>209283284.24103907</v>
      </c>
      <c r="D22" s="807">
        <f>SUM(D8:D21)</f>
        <v>23601734.677524239</v>
      </c>
      <c r="E22" s="807">
        <f>SUM(E8:E21)</f>
        <v>6303597.6402633302</v>
      </c>
      <c r="F22" s="807">
        <f>SUM(F8:F21)</f>
        <v>164287000.44862852</v>
      </c>
      <c r="G22" s="807">
        <f>SUM(G8:G21)</f>
        <v>160349597.18862849</v>
      </c>
      <c r="H22" s="808">
        <f>G22/(C22+E22)</f>
        <v>0.74378179131007427</v>
      </c>
    </row>
    <row r="27" spans="1:8" ht="10.5" customHeight="1" x14ac:dyDescent="0.3"/>
  </sheetData>
  <mergeCells count="5">
    <mergeCell ref="C6:C7"/>
    <mergeCell ref="D6:E6"/>
    <mergeCell ref="F6:F7"/>
    <mergeCell ref="G6:G7"/>
    <mergeCell ref="H6:H7"/>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4E60-D16D-45CA-8C9F-A5BCB13B29D1}">
  <dimension ref="A1:K29"/>
  <sheetViews>
    <sheetView zoomScale="115" zoomScaleNormal="115" workbookViewId="0">
      <pane xSplit="2" ySplit="6" topLeftCell="C7" activePane="bottomRight" state="frozen"/>
      <selection activeCell="B2" sqref="B2:C6"/>
      <selection pane="topRight" activeCell="B2" sqref="B2:C6"/>
      <selection pane="bottomLeft" activeCell="B2" sqref="B2:C6"/>
      <selection pane="bottomRight" activeCell="D14" sqref="D14"/>
    </sheetView>
  </sheetViews>
  <sheetFormatPr defaultColWidth="9.109375" defaultRowHeight="13.8" x14ac:dyDescent="0.3"/>
  <cols>
    <col min="1" max="1" width="10.5546875" style="20" bestFit="1" customWidth="1"/>
    <col min="2" max="2" width="70.33203125" style="20" customWidth="1"/>
    <col min="3" max="3" width="15.33203125" style="20" customWidth="1"/>
    <col min="4" max="4" width="15.21875" style="20" customWidth="1"/>
    <col min="5" max="5" width="14.44140625" style="20" customWidth="1"/>
    <col min="6" max="6" width="13.5546875" style="20" customWidth="1"/>
    <col min="7" max="7" width="15.44140625" style="20" customWidth="1"/>
    <col min="8" max="8" width="14.6640625" style="20" customWidth="1"/>
    <col min="9" max="9" width="15" style="20" customWidth="1"/>
    <col min="10" max="10" width="13.77734375" style="20" customWidth="1"/>
    <col min="11" max="11" width="15" style="20" customWidth="1"/>
    <col min="12" max="16384" width="9.109375" style="20"/>
  </cols>
  <sheetData>
    <row r="1" spans="1:11" x14ac:dyDescent="0.3">
      <c r="A1" s="20" t="s">
        <v>41</v>
      </c>
      <c r="B1" s="20" t="str">
        <f>Info!C2</f>
        <v>სს სილქ ბანკი</v>
      </c>
    </row>
    <row r="2" spans="1:11" x14ac:dyDescent="0.3">
      <c r="A2" s="20" t="s">
        <v>42</v>
      </c>
      <c r="B2" s="24">
        <f>'1. key ratios'!B2</f>
        <v>45747</v>
      </c>
    </row>
    <row r="3" spans="1:11" x14ac:dyDescent="0.3">
      <c r="B3" s="409"/>
    </row>
    <row r="4" spans="1:11" ht="40.5" customHeight="1" thickBot="1" x14ac:dyDescent="0.35">
      <c r="A4" s="20" t="s">
        <v>481</v>
      </c>
      <c r="B4" s="231" t="s">
        <v>27</v>
      </c>
    </row>
    <row r="5" spans="1:11" ht="30" customHeight="1" x14ac:dyDescent="0.3">
      <c r="A5" s="873"/>
      <c r="B5" s="874"/>
      <c r="C5" s="875" t="s">
        <v>482</v>
      </c>
      <c r="D5" s="875"/>
      <c r="E5" s="875"/>
      <c r="F5" s="875" t="s">
        <v>483</v>
      </c>
      <c r="G5" s="875"/>
      <c r="H5" s="875"/>
      <c r="I5" s="875" t="s">
        <v>484</v>
      </c>
      <c r="J5" s="875"/>
      <c r="K5" s="876"/>
    </row>
    <row r="6" spans="1:11" x14ac:dyDescent="0.3">
      <c r="A6" s="410"/>
      <c r="B6" s="411"/>
      <c r="C6" s="200" t="s">
        <v>86</v>
      </c>
      <c r="D6" s="200" t="s">
        <v>485</v>
      </c>
      <c r="E6" s="200" t="s">
        <v>88</v>
      </c>
      <c r="F6" s="200" t="s">
        <v>86</v>
      </c>
      <c r="G6" s="200" t="s">
        <v>485</v>
      </c>
      <c r="H6" s="200" t="s">
        <v>88</v>
      </c>
      <c r="I6" s="200" t="s">
        <v>86</v>
      </c>
      <c r="J6" s="200" t="s">
        <v>485</v>
      </c>
      <c r="K6" s="412" t="s">
        <v>88</v>
      </c>
    </row>
    <row r="7" spans="1:11" x14ac:dyDescent="0.3">
      <c r="A7" s="413" t="s">
        <v>486</v>
      </c>
      <c r="B7" s="414"/>
      <c r="C7" s="414"/>
      <c r="D7" s="414"/>
      <c r="E7" s="414"/>
      <c r="F7" s="414"/>
      <c r="G7" s="414"/>
      <c r="H7" s="414"/>
      <c r="I7" s="414"/>
      <c r="J7" s="414"/>
      <c r="K7" s="415"/>
    </row>
    <row r="8" spans="1:11" x14ac:dyDescent="0.3">
      <c r="A8" s="416">
        <v>1</v>
      </c>
      <c r="B8" s="417" t="s">
        <v>486</v>
      </c>
      <c r="C8" s="809"/>
      <c r="D8" s="809"/>
      <c r="E8" s="809"/>
      <c r="F8" s="810">
        <v>23102759.580000002</v>
      </c>
      <c r="G8" s="810">
        <v>19713197</v>
      </c>
      <c r="H8" s="810">
        <f>F8+G8</f>
        <v>42815956.579999998</v>
      </c>
      <c r="I8" s="810">
        <v>18400353.330000002</v>
      </c>
      <c r="J8" s="810">
        <v>5600813.0499999998</v>
      </c>
      <c r="K8" s="811">
        <f>I8+J8</f>
        <v>24001166.380000003</v>
      </c>
    </row>
    <row r="9" spans="1:11" x14ac:dyDescent="0.3">
      <c r="A9" s="413" t="s">
        <v>487</v>
      </c>
      <c r="B9" s="414"/>
      <c r="C9" s="812"/>
      <c r="D9" s="812"/>
      <c r="E9" s="812"/>
      <c r="F9" s="812"/>
      <c r="G9" s="812"/>
      <c r="H9" s="812"/>
      <c r="I9" s="812"/>
      <c r="J9" s="812"/>
      <c r="K9" s="813"/>
    </row>
    <row r="10" spans="1:11" x14ac:dyDescent="0.3">
      <c r="A10" s="215">
        <v>2</v>
      </c>
      <c r="B10" s="419" t="s">
        <v>488</v>
      </c>
      <c r="C10" s="205">
        <v>23772583.18</v>
      </c>
      <c r="D10" s="814">
        <v>19034466.840000004</v>
      </c>
      <c r="E10" s="814">
        <f>C10+D10</f>
        <v>42807050.020000003</v>
      </c>
      <c r="F10" s="814">
        <v>805548.31784999999</v>
      </c>
      <c r="G10" s="814">
        <v>1606292.35745</v>
      </c>
      <c r="H10" s="814">
        <f>F10+G10</f>
        <v>2411840.6753000002</v>
      </c>
      <c r="I10" s="814">
        <v>165793.766</v>
      </c>
      <c r="J10" s="814">
        <v>276821.22499999998</v>
      </c>
      <c r="K10" s="815">
        <f t="shared" ref="K10:K15" si="0">I10+J10</f>
        <v>442614.99099999998</v>
      </c>
    </row>
    <row r="11" spans="1:11" x14ac:dyDescent="0.3">
      <c r="A11" s="215">
        <v>3</v>
      </c>
      <c r="B11" s="419" t="s">
        <v>489</v>
      </c>
      <c r="C11" s="205">
        <v>76741321.089999974</v>
      </c>
      <c r="D11" s="814">
        <v>10786949.449999996</v>
      </c>
      <c r="E11" s="814">
        <f t="shared" ref="E11:E16" si="1">C11+D11</f>
        <v>87528270.539999962</v>
      </c>
      <c r="F11" s="814">
        <v>8735358.7892499994</v>
      </c>
      <c r="G11" s="814">
        <v>3449722.9635000015</v>
      </c>
      <c r="H11" s="814">
        <f t="shared" ref="H11:H16" si="2">F11+G11</f>
        <v>12185081.752750002</v>
      </c>
      <c r="I11" s="814">
        <v>3789249.9875000003</v>
      </c>
      <c r="J11" s="814">
        <v>1109134.3095</v>
      </c>
      <c r="K11" s="815">
        <f t="shared" si="0"/>
        <v>4898384.2970000003</v>
      </c>
    </row>
    <row r="12" spans="1:11" x14ac:dyDescent="0.3">
      <c r="A12" s="215">
        <v>4</v>
      </c>
      <c r="B12" s="419" t="s">
        <v>490</v>
      </c>
      <c r="C12" s="205">
        <v>5489587.7599999998</v>
      </c>
      <c r="D12" s="814">
        <v>0</v>
      </c>
      <c r="E12" s="814">
        <f t="shared" si="1"/>
        <v>5489587.7599999998</v>
      </c>
      <c r="F12" s="814">
        <v>0</v>
      </c>
      <c r="G12" s="814">
        <v>0</v>
      </c>
      <c r="H12" s="814">
        <f t="shared" si="2"/>
        <v>0</v>
      </c>
      <c r="I12" s="814">
        <v>0</v>
      </c>
      <c r="J12" s="814">
        <v>0</v>
      </c>
      <c r="K12" s="815">
        <f t="shared" si="0"/>
        <v>0</v>
      </c>
    </row>
    <row r="13" spans="1:11" x14ac:dyDescent="0.3">
      <c r="A13" s="215">
        <v>5</v>
      </c>
      <c r="B13" s="419" t="s">
        <v>491</v>
      </c>
      <c r="C13" s="205">
        <v>12173663.110000003</v>
      </c>
      <c r="D13" s="814">
        <v>10987573.369999999</v>
      </c>
      <c r="E13" s="814">
        <f t="shared" si="1"/>
        <v>23161236.480000004</v>
      </c>
      <c r="F13" s="814">
        <v>2746318.13215</v>
      </c>
      <c r="G13" s="814">
        <v>1385620.8068000001</v>
      </c>
      <c r="H13" s="814">
        <f t="shared" si="2"/>
        <v>4131938.9389500003</v>
      </c>
      <c r="I13" s="814">
        <v>755455.12800000003</v>
      </c>
      <c r="J13" s="814">
        <v>613142.79100000008</v>
      </c>
      <c r="K13" s="815">
        <f t="shared" si="0"/>
        <v>1368597.9190000002</v>
      </c>
    </row>
    <row r="14" spans="1:11" x14ac:dyDescent="0.3">
      <c r="A14" s="215">
        <v>6</v>
      </c>
      <c r="B14" s="419" t="s">
        <v>492</v>
      </c>
      <c r="C14" s="205">
        <v>0</v>
      </c>
      <c r="D14" s="814">
        <v>0</v>
      </c>
      <c r="E14" s="814">
        <f t="shared" si="1"/>
        <v>0</v>
      </c>
      <c r="F14" s="814">
        <f>E14</f>
        <v>0</v>
      </c>
      <c r="G14" s="814">
        <v>0</v>
      </c>
      <c r="H14" s="814">
        <f t="shared" si="2"/>
        <v>0</v>
      </c>
      <c r="I14" s="814">
        <v>0</v>
      </c>
      <c r="J14" s="814">
        <v>0</v>
      </c>
      <c r="K14" s="815">
        <f t="shared" si="0"/>
        <v>0</v>
      </c>
    </row>
    <row r="15" spans="1:11" x14ac:dyDescent="0.3">
      <c r="A15" s="215">
        <v>7</v>
      </c>
      <c r="B15" s="419" t="s">
        <v>493</v>
      </c>
      <c r="C15" s="205">
        <v>3708887.9800000004</v>
      </c>
      <c r="D15" s="814">
        <v>35287340.130000003</v>
      </c>
      <c r="E15" s="814">
        <f t="shared" si="1"/>
        <v>38996228.109999999</v>
      </c>
      <c r="F15" s="814">
        <v>2734201.96</v>
      </c>
      <c r="G15" s="814">
        <v>2328738.9699999997</v>
      </c>
      <c r="H15" s="814">
        <f t="shared" si="2"/>
        <v>5062940.93</v>
      </c>
      <c r="I15" s="814">
        <v>2734201.96</v>
      </c>
      <c r="J15" s="814">
        <v>2328738.9699999997</v>
      </c>
      <c r="K15" s="815">
        <f t="shared" si="0"/>
        <v>5062940.93</v>
      </c>
    </row>
    <row r="16" spans="1:11" x14ac:dyDescent="0.3">
      <c r="A16" s="215">
        <v>8</v>
      </c>
      <c r="B16" s="420" t="s">
        <v>494</v>
      </c>
      <c r="C16" s="205">
        <f>SUM(C10:C15)</f>
        <v>121886043.11999999</v>
      </c>
      <c r="D16" s="205">
        <f>SUM(D10:D15)</f>
        <v>76096329.789999992</v>
      </c>
      <c r="E16" s="814">
        <f t="shared" si="1"/>
        <v>197982372.90999997</v>
      </c>
      <c r="F16" s="814">
        <f>SUM(F10:F15)</f>
        <v>15021427.199249998</v>
      </c>
      <c r="G16" s="814">
        <f>SUM(G10:G15)</f>
        <v>8770375.0977500007</v>
      </c>
      <c r="H16" s="814">
        <f t="shared" si="2"/>
        <v>23791802.296999998</v>
      </c>
      <c r="I16" s="814">
        <f>SUM(I10:I15)</f>
        <v>7444700.8415000001</v>
      </c>
      <c r="J16" s="814">
        <f>SUM(J10:J15)</f>
        <v>4327837.2955</v>
      </c>
      <c r="K16" s="815">
        <f>SUM(K10:K15)</f>
        <v>11772538.137</v>
      </c>
    </row>
    <row r="17" spans="1:11" x14ac:dyDescent="0.3">
      <c r="A17" s="413" t="s">
        <v>495</v>
      </c>
      <c r="B17" s="414"/>
      <c r="C17" s="812"/>
      <c r="D17" s="812"/>
      <c r="E17" s="812"/>
      <c r="F17" s="812"/>
      <c r="G17" s="812"/>
      <c r="H17" s="812"/>
      <c r="I17" s="812"/>
      <c r="J17" s="812"/>
      <c r="K17" s="813"/>
    </row>
    <row r="18" spans="1:11" x14ac:dyDescent="0.3">
      <c r="A18" s="215">
        <v>9</v>
      </c>
      <c r="B18" s="419" t="s">
        <v>496</v>
      </c>
      <c r="C18" s="205">
        <v>0</v>
      </c>
      <c r="D18" s="814">
        <v>0</v>
      </c>
      <c r="E18" s="814">
        <f>C18+D18</f>
        <v>0</v>
      </c>
      <c r="F18" s="814">
        <v>0</v>
      </c>
      <c r="G18" s="814">
        <v>0</v>
      </c>
      <c r="H18" s="814">
        <f>F18+G18</f>
        <v>0</v>
      </c>
      <c r="I18" s="814">
        <v>0</v>
      </c>
      <c r="J18" s="814">
        <v>0</v>
      </c>
      <c r="K18" s="815">
        <f>I18+J18</f>
        <v>0</v>
      </c>
    </row>
    <row r="19" spans="1:11" x14ac:dyDescent="0.3">
      <c r="A19" s="215">
        <v>10</v>
      </c>
      <c r="B19" s="419" t="s">
        <v>497</v>
      </c>
      <c r="C19" s="205">
        <v>83527330.799999997</v>
      </c>
      <c r="D19" s="814">
        <v>59426885.689999998</v>
      </c>
      <c r="E19" s="814">
        <f>C19+D19</f>
        <v>142954216.49000001</v>
      </c>
      <c r="F19" s="814">
        <v>2158759.6800000002</v>
      </c>
      <c r="G19" s="814">
        <v>1066629.18</v>
      </c>
      <c r="H19" s="814">
        <f>F19+G19</f>
        <v>3225388.8600000003</v>
      </c>
      <c r="I19" s="814">
        <v>6861165.9299999997</v>
      </c>
      <c r="J19" s="814">
        <v>15604280.859999999</v>
      </c>
      <c r="K19" s="815">
        <f>I19+J19</f>
        <v>22465446.789999999</v>
      </c>
    </row>
    <row r="20" spans="1:11" x14ac:dyDescent="0.3">
      <c r="A20" s="215">
        <v>11</v>
      </c>
      <c r="B20" s="419" t="s">
        <v>498</v>
      </c>
      <c r="C20" s="205">
        <v>38293214.890000001</v>
      </c>
      <c r="D20" s="814">
        <v>612002.15999999992</v>
      </c>
      <c r="E20" s="814">
        <f>C20+D20</f>
        <v>38905217.049999997</v>
      </c>
      <c r="F20" s="814">
        <v>1096023.17</v>
      </c>
      <c r="G20" s="814">
        <v>612002.15999999992</v>
      </c>
      <c r="H20" s="814">
        <f>F20+G20</f>
        <v>1708025.3299999998</v>
      </c>
      <c r="I20" s="814">
        <v>1096023.17</v>
      </c>
      <c r="J20" s="814">
        <v>612002.15999999992</v>
      </c>
      <c r="K20" s="815">
        <f>I20+J20</f>
        <v>1708025.3299999998</v>
      </c>
    </row>
    <row r="21" spans="1:11" ht="14.4" thickBot="1" x14ac:dyDescent="0.35">
      <c r="A21" s="421">
        <v>12</v>
      </c>
      <c r="B21" s="422" t="s">
        <v>499</v>
      </c>
      <c r="C21" s="816">
        <f>SUM(C18:C20)</f>
        <v>121820545.69</v>
      </c>
      <c r="D21" s="816">
        <f>SUM(D18:D20)</f>
        <v>60038887.849999994</v>
      </c>
      <c r="E21" s="816">
        <f>SUM(E18:E20)</f>
        <v>181859433.54000002</v>
      </c>
      <c r="F21" s="817">
        <f>SUM(F18:F20)</f>
        <v>3254782.85</v>
      </c>
      <c r="G21" s="817">
        <f>SUM(G18:G20)</f>
        <v>1678631.3399999999</v>
      </c>
      <c r="H21" s="814">
        <f>F21+G21</f>
        <v>4933414.1899999995</v>
      </c>
      <c r="I21" s="817">
        <f>SUM(I18:I20)</f>
        <v>7957189.0999999996</v>
      </c>
      <c r="J21" s="817">
        <f>SUM(J18:J20)</f>
        <v>16216283.02</v>
      </c>
      <c r="K21" s="818">
        <f>SUM(K18:K20)</f>
        <v>24173472.119999997</v>
      </c>
    </row>
    <row r="22" spans="1:11" ht="38.25" customHeight="1" thickBot="1" x14ac:dyDescent="0.35">
      <c r="A22" s="423"/>
      <c r="B22" s="424"/>
      <c r="C22" s="425"/>
      <c r="D22" s="425"/>
      <c r="E22" s="425"/>
      <c r="F22" s="877" t="s">
        <v>500</v>
      </c>
      <c r="G22" s="875"/>
      <c r="H22" s="875"/>
      <c r="I22" s="877" t="s">
        <v>501</v>
      </c>
      <c r="J22" s="875"/>
      <c r="K22" s="876"/>
    </row>
    <row r="23" spans="1:11" x14ac:dyDescent="0.3">
      <c r="A23" s="426">
        <v>13</v>
      </c>
      <c r="B23" s="427" t="s">
        <v>486</v>
      </c>
      <c r="C23" s="428"/>
      <c r="D23" s="429"/>
      <c r="E23" s="429"/>
      <c r="F23" s="430">
        <f t="shared" ref="F23:K23" si="3">F8</f>
        <v>23102759.580000002</v>
      </c>
      <c r="G23" s="430">
        <f t="shared" si="3"/>
        <v>19713197</v>
      </c>
      <c r="H23" s="430">
        <f t="shared" si="3"/>
        <v>42815956.579999998</v>
      </c>
      <c r="I23" s="431">
        <f t="shared" si="3"/>
        <v>18400353.330000002</v>
      </c>
      <c r="J23" s="431">
        <f t="shared" si="3"/>
        <v>5600813.0499999998</v>
      </c>
      <c r="K23" s="432">
        <f t="shared" si="3"/>
        <v>24001166.380000003</v>
      </c>
    </row>
    <row r="24" spans="1:11" ht="14.4" thickBot="1" x14ac:dyDescent="0.35">
      <c r="A24" s="433">
        <v>14</v>
      </c>
      <c r="B24" s="434" t="s">
        <v>502</v>
      </c>
      <c r="C24" s="435"/>
      <c r="D24" s="436"/>
      <c r="E24" s="437"/>
      <c r="F24" s="438">
        <v>11766644.34925</v>
      </c>
      <c r="G24" s="438">
        <v>7091743.7577500008</v>
      </c>
      <c r="H24" s="438">
        <f>MAX(H16-H21,H16*0.25)</f>
        <v>18858388.107000001</v>
      </c>
      <c r="I24" s="439">
        <v>1861175.2103749998</v>
      </c>
      <c r="J24" s="439">
        <v>1081959.323875</v>
      </c>
      <c r="K24" s="440">
        <f>MAX(K16-K21,K16*0.25)</f>
        <v>2943134.53425</v>
      </c>
    </row>
    <row r="25" spans="1:11" ht="14.4" thickBot="1" x14ac:dyDescent="0.35">
      <c r="A25" s="441">
        <v>15</v>
      </c>
      <c r="B25" s="442" t="s">
        <v>78</v>
      </c>
      <c r="C25" s="443"/>
      <c r="D25" s="444"/>
      <c r="E25" s="444"/>
      <c r="F25" s="445">
        <f t="shared" ref="F25:K25" si="4">IFERROR(F23/F24,0)</f>
        <v>1.963411053676706</v>
      </c>
      <c r="G25" s="445">
        <f t="shared" si="4"/>
        <v>2.7797390421018835</v>
      </c>
      <c r="H25" s="445">
        <f t="shared" si="4"/>
        <v>2.2703932243343345</v>
      </c>
      <c r="I25" s="445">
        <f t="shared" si="4"/>
        <v>9.8864165111529712</v>
      </c>
      <c r="J25" s="445">
        <f t="shared" si="4"/>
        <v>5.1765467762141748</v>
      </c>
      <c r="K25" s="446">
        <f t="shared" si="4"/>
        <v>8.1549674677431039</v>
      </c>
    </row>
    <row r="28" spans="1:11" ht="55.2" x14ac:dyDescent="0.3">
      <c r="B28" s="53" t="s">
        <v>503</v>
      </c>
    </row>
    <row r="29" spans="1:11" x14ac:dyDescent="0.3">
      <c r="F29" s="447"/>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30BA-C55C-4599-9D22-F082484F36AC}">
  <dimension ref="A1:Q34"/>
  <sheetViews>
    <sheetView zoomScale="115" zoomScaleNormal="115" workbookViewId="0">
      <pane xSplit="1" ySplit="1" topLeftCell="B2" activePane="bottomRight" state="frozen"/>
      <selection activeCell="B2" sqref="B2:C6"/>
      <selection pane="topRight" activeCell="B2" sqref="B2:C6"/>
      <selection pane="bottomLeft" activeCell="B2" sqref="B2:C6"/>
      <selection pane="bottomRight" activeCell="C12" sqref="C12"/>
    </sheetView>
  </sheetViews>
  <sheetFormatPr defaultColWidth="9.21875" defaultRowHeight="13.8" x14ac:dyDescent="0.3"/>
  <cols>
    <col min="1" max="1" width="10.5546875" style="322" bestFit="1" customWidth="1"/>
    <col min="2" max="2" width="95" style="322" customWidth="1"/>
    <col min="3" max="9" width="15" style="322" customWidth="1"/>
    <col min="10" max="14" width="18.5546875" style="322" customWidth="1"/>
    <col min="15" max="17" width="18.5546875" style="139" customWidth="1"/>
    <col min="18" max="16384" width="9.21875" style="139"/>
  </cols>
  <sheetData>
    <row r="1" spans="1:17" x14ac:dyDescent="0.3">
      <c r="A1" s="23" t="s">
        <v>41</v>
      </c>
      <c r="B1" s="322" t="str">
        <f>'14. LCR'!B1</f>
        <v>სს სილქ ბანკი</v>
      </c>
    </row>
    <row r="2" spans="1:17" x14ac:dyDescent="0.3">
      <c r="A2" s="322" t="s">
        <v>42</v>
      </c>
      <c r="B2" s="24">
        <f>'14. LCR'!B2</f>
        <v>45747</v>
      </c>
    </row>
    <row r="3" spans="1:17" x14ac:dyDescent="0.3">
      <c r="B3" s="139"/>
      <c r="C3" s="139"/>
      <c r="D3" s="139"/>
      <c r="E3" s="139"/>
      <c r="F3" s="139"/>
      <c r="G3" s="139"/>
      <c r="H3" s="139"/>
      <c r="I3" s="139"/>
      <c r="J3" s="139"/>
      <c r="K3" s="139"/>
      <c r="L3" s="139"/>
      <c r="M3" s="139"/>
      <c r="N3" s="139"/>
    </row>
    <row r="4" spans="1:17" ht="14.4" x14ac:dyDescent="0.3">
      <c r="B4" s="448" t="s">
        <v>504</v>
      </c>
      <c r="C4" s="139"/>
      <c r="D4" s="139"/>
      <c r="E4" s="139"/>
      <c r="F4" s="139"/>
      <c r="G4" s="139"/>
      <c r="H4" s="139"/>
      <c r="I4" s="139"/>
      <c r="J4" s="139"/>
      <c r="K4" s="139"/>
      <c r="L4" s="139"/>
      <c r="M4" s="139"/>
      <c r="N4" s="139"/>
    </row>
    <row r="5" spans="1:17" ht="86.4" x14ac:dyDescent="0.3">
      <c r="B5" s="449" t="s">
        <v>505</v>
      </c>
      <c r="C5" s="450" t="s">
        <v>506</v>
      </c>
      <c r="D5" s="450" t="s">
        <v>507</v>
      </c>
      <c r="E5" s="450" t="s">
        <v>508</v>
      </c>
      <c r="F5" s="450" t="s">
        <v>509</v>
      </c>
      <c r="G5" s="450" t="s">
        <v>510</v>
      </c>
      <c r="H5" s="450" t="s">
        <v>511</v>
      </c>
      <c r="I5" s="451" t="s">
        <v>512</v>
      </c>
      <c r="J5" s="452">
        <v>0.02</v>
      </c>
      <c r="K5" s="452">
        <v>0.2</v>
      </c>
      <c r="L5" s="452">
        <v>0.35</v>
      </c>
      <c r="M5" s="452">
        <v>0.5</v>
      </c>
      <c r="N5" s="452">
        <v>0.75</v>
      </c>
      <c r="O5" s="452">
        <v>1</v>
      </c>
      <c r="P5" s="452">
        <v>1.5</v>
      </c>
      <c r="Q5" s="453" t="s">
        <v>28</v>
      </c>
    </row>
    <row r="6" spans="1:17" ht="14.4" x14ac:dyDescent="0.3">
      <c r="B6" s="454"/>
      <c r="C6" s="455">
        <f>IF(C7&gt;0,C7,IF(C8&gt;0,C8,IF(C9&gt;0,C9)))</f>
        <v>33207600</v>
      </c>
      <c r="D6" s="455" t="b">
        <f t="shared" ref="D6:Q6" si="0">IF(D7&gt;0,D7,IF(D8&gt;0,D8,IF(D9&gt;0,D9)))</f>
        <v>0</v>
      </c>
      <c r="E6" s="455" t="b">
        <f t="shared" si="0"/>
        <v>0</v>
      </c>
      <c r="F6" s="455">
        <f t="shared" si="0"/>
        <v>114152.5438602278</v>
      </c>
      <c r="G6" s="455">
        <f t="shared" si="0"/>
        <v>563893.64174586709</v>
      </c>
      <c r="H6" s="455"/>
      <c r="I6" s="455">
        <f t="shared" si="0"/>
        <v>949264.65984853276</v>
      </c>
      <c r="J6" s="455" t="b">
        <f t="shared" si="0"/>
        <v>0</v>
      </c>
      <c r="K6" s="455" t="b">
        <f t="shared" si="0"/>
        <v>0</v>
      </c>
      <c r="L6" s="455" t="b">
        <f t="shared" si="0"/>
        <v>0</v>
      </c>
      <c r="M6" s="455" t="b">
        <f t="shared" si="0"/>
        <v>0</v>
      </c>
      <c r="N6" s="455" t="b">
        <f t="shared" si="0"/>
        <v>0</v>
      </c>
      <c r="O6" s="455">
        <f t="shared" si="0"/>
        <v>949264.65984853276</v>
      </c>
      <c r="P6" s="455" t="b">
        <f t="shared" si="0"/>
        <v>0</v>
      </c>
      <c r="Q6" s="455">
        <f t="shared" si="0"/>
        <v>949264.65984853276</v>
      </c>
    </row>
    <row r="7" spans="1:17" ht="14.4" x14ac:dyDescent="0.3">
      <c r="B7" s="456" t="s">
        <v>513</v>
      </c>
      <c r="C7" s="455">
        <f>C11+C15+C19+C23+C27+C31</f>
        <v>33207600</v>
      </c>
      <c r="D7" s="455"/>
      <c r="E7" s="455"/>
      <c r="F7" s="455">
        <f t="shared" ref="F7:G9" si="1">F11+F15+F19+F23+F27+F31</f>
        <v>114152.5438602278</v>
      </c>
      <c r="G7" s="455">
        <f t="shared" si="1"/>
        <v>563893.64174586709</v>
      </c>
      <c r="H7" s="457">
        <v>1.4</v>
      </c>
      <c r="I7" s="458">
        <f t="shared" ref="I7:I33" si="2">(F7+G7)*H7</f>
        <v>949264.65984853276</v>
      </c>
      <c r="J7" s="455">
        <f>J11+J15+J19+J23+J27+J31</f>
        <v>0</v>
      </c>
      <c r="K7" s="455">
        <f t="shared" ref="J7:Q9" si="3">K11+K15+K19+K23+K27+K31</f>
        <v>0</v>
      </c>
      <c r="L7" s="455">
        <f t="shared" si="3"/>
        <v>0</v>
      </c>
      <c r="M7" s="455">
        <f t="shared" si="3"/>
        <v>0</v>
      </c>
      <c r="N7" s="455">
        <f t="shared" si="3"/>
        <v>0</v>
      </c>
      <c r="O7" s="455">
        <f t="shared" si="3"/>
        <v>949264.65984853276</v>
      </c>
      <c r="P7" s="455">
        <f t="shared" si="3"/>
        <v>0</v>
      </c>
      <c r="Q7" s="455">
        <f>Q11+Q15+Q19+Q23+Q27+Q31</f>
        <v>949264.65984853276</v>
      </c>
    </row>
    <row r="8" spans="1:17" ht="14.4" x14ac:dyDescent="0.3">
      <c r="B8" s="456" t="s">
        <v>514</v>
      </c>
      <c r="C8" s="455">
        <f>C12+C16+C20+C24+C28+C32</f>
        <v>33207600</v>
      </c>
      <c r="D8" s="455"/>
      <c r="E8" s="455"/>
      <c r="F8" s="455">
        <f t="shared" si="1"/>
        <v>114152.5438602278</v>
      </c>
      <c r="G8" s="455">
        <f t="shared" si="1"/>
        <v>664152</v>
      </c>
      <c r="H8" s="457">
        <v>1.4</v>
      </c>
      <c r="I8" s="458">
        <f t="shared" si="2"/>
        <v>1089626.3614043188</v>
      </c>
      <c r="J8" s="455">
        <f t="shared" si="3"/>
        <v>0</v>
      </c>
      <c r="K8" s="455">
        <f t="shared" si="3"/>
        <v>0</v>
      </c>
      <c r="L8" s="455">
        <f t="shared" si="3"/>
        <v>0</v>
      </c>
      <c r="M8" s="455">
        <f t="shared" si="3"/>
        <v>0</v>
      </c>
      <c r="N8" s="455">
        <f t="shared" si="3"/>
        <v>0</v>
      </c>
      <c r="O8" s="455">
        <f t="shared" si="3"/>
        <v>1089626.3614043188</v>
      </c>
      <c r="P8" s="455">
        <f t="shared" si="3"/>
        <v>0</v>
      </c>
      <c r="Q8" s="455">
        <f>Q12+Q16+Q20+Q24+Q28+Q32</f>
        <v>1089626.3614043188</v>
      </c>
    </row>
    <row r="9" spans="1:17" ht="14.4" x14ac:dyDescent="0.3">
      <c r="B9" s="456" t="s">
        <v>515</v>
      </c>
      <c r="C9" s="455">
        <f>C13+C17+C21+C25+C29+C33</f>
        <v>33207600</v>
      </c>
      <c r="D9" s="455"/>
      <c r="E9" s="455"/>
      <c r="F9" s="455">
        <f t="shared" si="1"/>
        <v>150046.31047218281</v>
      </c>
      <c r="G9" s="455">
        <f t="shared" si="1"/>
        <v>1328304</v>
      </c>
      <c r="H9" s="457">
        <v>1.4</v>
      </c>
      <c r="I9" s="458">
        <f t="shared" si="2"/>
        <v>2069690.4346610559</v>
      </c>
      <c r="J9" s="455">
        <f t="shared" si="3"/>
        <v>0</v>
      </c>
      <c r="K9" s="455">
        <f t="shared" si="3"/>
        <v>0</v>
      </c>
      <c r="L9" s="455">
        <f t="shared" si="3"/>
        <v>0</v>
      </c>
      <c r="M9" s="455">
        <f t="shared" si="3"/>
        <v>0</v>
      </c>
      <c r="N9" s="455">
        <f t="shared" si="3"/>
        <v>0</v>
      </c>
      <c r="O9" s="455">
        <f t="shared" si="3"/>
        <v>2069690.4346610559</v>
      </c>
      <c r="P9" s="455">
        <f t="shared" si="3"/>
        <v>0</v>
      </c>
      <c r="Q9" s="455">
        <f t="shared" si="3"/>
        <v>2069690.4346610559</v>
      </c>
    </row>
    <row r="10" spans="1:17" ht="14.4" x14ac:dyDescent="0.3">
      <c r="B10" s="459" t="s">
        <v>516</v>
      </c>
      <c r="C10" s="460"/>
      <c r="D10" s="460"/>
      <c r="E10" s="460"/>
      <c r="F10" s="460"/>
      <c r="G10" s="460"/>
      <c r="H10" s="457">
        <v>1.4</v>
      </c>
      <c r="I10" s="458">
        <f t="shared" si="2"/>
        <v>0</v>
      </c>
      <c r="J10" s="461"/>
      <c r="K10" s="461"/>
      <c r="L10" s="461"/>
      <c r="M10" s="461"/>
      <c r="N10" s="461"/>
      <c r="O10" s="461">
        <v>0</v>
      </c>
      <c r="P10" s="461">
        <v>0</v>
      </c>
      <c r="Q10" s="455">
        <f>SUM(Q11:Q13)</f>
        <v>0</v>
      </c>
    </row>
    <row r="11" spans="1:17" ht="14.4" x14ac:dyDescent="0.3">
      <c r="B11" s="462" t="s">
        <v>513</v>
      </c>
      <c r="C11" s="460"/>
      <c r="D11" s="460"/>
      <c r="E11" s="460"/>
      <c r="F11" s="460"/>
      <c r="G11" s="460"/>
      <c r="H11" s="457">
        <v>1.4</v>
      </c>
      <c r="I11" s="458">
        <f t="shared" si="2"/>
        <v>0</v>
      </c>
      <c r="J11" s="461"/>
      <c r="K11" s="461"/>
      <c r="L11" s="461"/>
      <c r="M11" s="461"/>
      <c r="N11" s="461"/>
      <c r="O11" s="461">
        <v>0</v>
      </c>
      <c r="P11" s="461">
        <v>0</v>
      </c>
      <c r="Q11" s="455">
        <f>SUMPRODUCT($J$5:$P$5,J11:P11)</f>
        <v>0</v>
      </c>
    </row>
    <row r="12" spans="1:17" ht="14.4" x14ac:dyDescent="0.3">
      <c r="B12" s="462" t="s">
        <v>514</v>
      </c>
      <c r="C12" s="460"/>
      <c r="D12" s="460"/>
      <c r="E12" s="460"/>
      <c r="F12" s="460"/>
      <c r="G12" s="460"/>
      <c r="H12" s="457">
        <v>1.4</v>
      </c>
      <c r="I12" s="458">
        <f t="shared" si="2"/>
        <v>0</v>
      </c>
      <c r="J12" s="461"/>
      <c r="K12" s="461"/>
      <c r="L12" s="461"/>
      <c r="M12" s="461"/>
      <c r="N12" s="461"/>
      <c r="O12" s="461">
        <v>0</v>
      </c>
      <c r="P12" s="461">
        <v>0</v>
      </c>
      <c r="Q12" s="455">
        <f t="shared" ref="Q12:Q13" si="4">SUMPRODUCT($J$5:$P$5,J12:P12)</f>
        <v>0</v>
      </c>
    </row>
    <row r="13" spans="1:17" ht="14.4" x14ac:dyDescent="0.3">
      <c r="B13" s="462" t="s">
        <v>515</v>
      </c>
      <c r="C13" s="460"/>
      <c r="D13" s="460"/>
      <c r="E13" s="460"/>
      <c r="F13" s="460"/>
      <c r="G13" s="460"/>
      <c r="H13" s="457">
        <v>1.4</v>
      </c>
      <c r="I13" s="458">
        <f t="shared" si="2"/>
        <v>0</v>
      </c>
      <c r="J13" s="461"/>
      <c r="K13" s="461"/>
      <c r="L13" s="461"/>
      <c r="M13" s="461"/>
      <c r="N13" s="461"/>
      <c r="O13" s="461">
        <v>0</v>
      </c>
      <c r="P13" s="461">
        <v>0</v>
      </c>
      <c r="Q13" s="455">
        <f t="shared" si="4"/>
        <v>0</v>
      </c>
    </row>
    <row r="14" spans="1:17" ht="14.4" x14ac:dyDescent="0.3">
      <c r="B14" s="459" t="s">
        <v>517</v>
      </c>
      <c r="C14" s="460"/>
      <c r="D14" s="460"/>
      <c r="E14" s="460"/>
      <c r="F14" s="460"/>
      <c r="G14" s="460"/>
      <c r="H14" s="457">
        <v>1.4</v>
      </c>
      <c r="I14" s="458">
        <f t="shared" si="2"/>
        <v>0</v>
      </c>
      <c r="J14" s="461"/>
      <c r="K14" s="461"/>
      <c r="L14" s="461"/>
      <c r="M14" s="461"/>
      <c r="N14" s="461"/>
      <c r="O14" s="461">
        <v>0</v>
      </c>
      <c r="P14" s="461">
        <v>0</v>
      </c>
      <c r="Q14" s="455">
        <f>SUM(Q15:Q17)</f>
        <v>0</v>
      </c>
    </row>
    <row r="15" spans="1:17" ht="14.4" x14ac:dyDescent="0.3">
      <c r="B15" s="462" t="s">
        <v>513</v>
      </c>
      <c r="C15" s="460"/>
      <c r="D15" s="460"/>
      <c r="E15" s="460"/>
      <c r="F15" s="460"/>
      <c r="G15" s="460"/>
      <c r="H15" s="457">
        <v>1.4</v>
      </c>
      <c r="I15" s="458">
        <f t="shared" si="2"/>
        <v>0</v>
      </c>
      <c r="J15" s="461"/>
      <c r="K15" s="461"/>
      <c r="L15" s="461"/>
      <c r="M15" s="461"/>
      <c r="N15" s="461"/>
      <c r="O15" s="461">
        <v>0</v>
      </c>
      <c r="P15" s="461">
        <v>0</v>
      </c>
      <c r="Q15" s="455">
        <f>SUMPRODUCT($J$5:$P$5,J15:P15)</f>
        <v>0</v>
      </c>
    </row>
    <row r="16" spans="1:17" ht="14.4" x14ac:dyDescent="0.3">
      <c r="B16" s="462" t="s">
        <v>514</v>
      </c>
      <c r="C16" s="460"/>
      <c r="D16" s="460"/>
      <c r="E16" s="460"/>
      <c r="F16" s="460"/>
      <c r="G16" s="460"/>
      <c r="H16" s="457">
        <v>1.4</v>
      </c>
      <c r="I16" s="458">
        <f t="shared" si="2"/>
        <v>0</v>
      </c>
      <c r="J16" s="461"/>
      <c r="K16" s="461"/>
      <c r="L16" s="461"/>
      <c r="M16" s="461"/>
      <c r="N16" s="461"/>
      <c r="O16" s="461">
        <v>0</v>
      </c>
      <c r="P16" s="461">
        <v>0</v>
      </c>
      <c r="Q16" s="455">
        <f t="shared" ref="Q16:Q17" si="5">SUMPRODUCT($J$5:$P$5,J16:P16)</f>
        <v>0</v>
      </c>
    </row>
    <row r="17" spans="2:17" ht="14.4" x14ac:dyDescent="0.3">
      <c r="B17" s="462" t="s">
        <v>515</v>
      </c>
      <c r="C17" s="460"/>
      <c r="D17" s="460"/>
      <c r="E17" s="460"/>
      <c r="F17" s="460"/>
      <c r="G17" s="460"/>
      <c r="H17" s="457">
        <v>1.4</v>
      </c>
      <c r="I17" s="458">
        <f t="shared" si="2"/>
        <v>0</v>
      </c>
      <c r="J17" s="461"/>
      <c r="K17" s="461"/>
      <c r="L17" s="461"/>
      <c r="M17" s="461"/>
      <c r="N17" s="461"/>
      <c r="O17" s="461">
        <v>0</v>
      </c>
      <c r="P17" s="461">
        <v>0</v>
      </c>
      <c r="Q17" s="455">
        <f t="shared" si="5"/>
        <v>0</v>
      </c>
    </row>
    <row r="18" spans="2:17" ht="14.4" x14ac:dyDescent="0.3">
      <c r="B18" s="459" t="s">
        <v>518</v>
      </c>
      <c r="C18" s="460"/>
      <c r="D18" s="460"/>
      <c r="E18" s="460"/>
      <c r="F18" s="460"/>
      <c r="G18" s="460"/>
      <c r="H18" s="457">
        <v>1.4</v>
      </c>
      <c r="I18" s="458">
        <f t="shared" si="2"/>
        <v>0</v>
      </c>
      <c r="J18" s="461"/>
      <c r="K18" s="461"/>
      <c r="L18" s="461"/>
      <c r="M18" s="461"/>
      <c r="N18" s="461"/>
      <c r="O18" s="461">
        <v>0</v>
      </c>
      <c r="P18" s="461">
        <v>0</v>
      </c>
      <c r="Q18" s="455">
        <f>SUM(Q19:Q21)</f>
        <v>4108581.4559139074</v>
      </c>
    </row>
    <row r="19" spans="2:17" ht="14.4" x14ac:dyDescent="0.3">
      <c r="B19" s="462" t="s">
        <v>513</v>
      </c>
      <c r="C19" s="460">
        <v>33207600</v>
      </c>
      <c r="D19" s="460">
        <v>114152.5438602278</v>
      </c>
      <c r="E19" s="460">
        <v>0</v>
      </c>
      <c r="F19" s="460">
        <v>114152.5438602278</v>
      </c>
      <c r="G19" s="460">
        <v>563893.64174586709</v>
      </c>
      <c r="H19" s="457">
        <v>1.4</v>
      </c>
      <c r="I19" s="458">
        <f t="shared" si="2"/>
        <v>949264.65984853276</v>
      </c>
      <c r="J19" s="461"/>
      <c r="K19" s="461"/>
      <c r="L19" s="461"/>
      <c r="M19" s="461"/>
      <c r="N19" s="461"/>
      <c r="O19" s="773">
        <v>949264.65984853276</v>
      </c>
      <c r="P19" s="461">
        <v>0</v>
      </c>
      <c r="Q19" s="455">
        <f>SUMPRODUCT($J$5:$P$5,J19:P19)</f>
        <v>949264.65984853276</v>
      </c>
    </row>
    <row r="20" spans="2:17" ht="14.4" x14ac:dyDescent="0.3">
      <c r="B20" s="462" t="s">
        <v>514</v>
      </c>
      <c r="C20" s="460">
        <v>33207600</v>
      </c>
      <c r="D20" s="460">
        <v>114152.5438602278</v>
      </c>
      <c r="E20" s="460">
        <v>0</v>
      </c>
      <c r="F20" s="460">
        <v>114152.5438602278</v>
      </c>
      <c r="G20" s="460">
        <v>664152</v>
      </c>
      <c r="H20" s="457">
        <v>1.4</v>
      </c>
      <c r="I20" s="458">
        <f t="shared" si="2"/>
        <v>1089626.3614043188</v>
      </c>
      <c r="J20" s="461"/>
      <c r="K20" s="461"/>
      <c r="L20" s="461"/>
      <c r="M20" s="461"/>
      <c r="N20" s="461"/>
      <c r="O20" s="773">
        <v>1089626.3614043188</v>
      </c>
      <c r="P20" s="461">
        <v>0</v>
      </c>
      <c r="Q20" s="455">
        <f t="shared" ref="Q20:Q21" si="6">SUMPRODUCT($J$5:$P$5,J20:P20)</f>
        <v>1089626.3614043188</v>
      </c>
    </row>
    <row r="21" spans="2:17" ht="14.4" x14ac:dyDescent="0.3">
      <c r="B21" s="462" t="s">
        <v>515</v>
      </c>
      <c r="C21" s="460">
        <v>33207600</v>
      </c>
      <c r="D21" s="460">
        <v>114152.5438602278</v>
      </c>
      <c r="E21" s="460">
        <v>0</v>
      </c>
      <c r="F21" s="460">
        <v>150046.31047218281</v>
      </c>
      <c r="G21" s="460">
        <v>1328304</v>
      </c>
      <c r="H21" s="457">
        <v>1.4</v>
      </c>
      <c r="I21" s="458">
        <f t="shared" si="2"/>
        <v>2069690.4346610559</v>
      </c>
      <c r="J21" s="461"/>
      <c r="K21" s="461"/>
      <c r="L21" s="461"/>
      <c r="M21" s="461"/>
      <c r="N21" s="461"/>
      <c r="O21" s="773">
        <v>2069690.4346610559</v>
      </c>
      <c r="P21" s="461">
        <v>0</v>
      </c>
      <c r="Q21" s="455">
        <f t="shared" si="6"/>
        <v>2069690.4346610559</v>
      </c>
    </row>
    <row r="22" spans="2:17" ht="14.4" x14ac:dyDescent="0.3">
      <c r="B22" s="459" t="s">
        <v>519</v>
      </c>
      <c r="C22" s="460"/>
      <c r="D22" s="460"/>
      <c r="E22" s="460"/>
      <c r="F22" s="460"/>
      <c r="G22" s="460"/>
      <c r="H22" s="457">
        <v>1.4</v>
      </c>
      <c r="I22" s="458">
        <f t="shared" si="2"/>
        <v>0</v>
      </c>
      <c r="J22" s="461"/>
      <c r="K22" s="461"/>
      <c r="L22" s="461"/>
      <c r="M22" s="461"/>
      <c r="N22" s="461"/>
      <c r="O22" s="461">
        <v>0</v>
      </c>
      <c r="P22" s="461">
        <v>0</v>
      </c>
      <c r="Q22" s="455">
        <f>SUM(Q23:Q25)</f>
        <v>0</v>
      </c>
    </row>
    <row r="23" spans="2:17" ht="14.4" x14ac:dyDescent="0.3">
      <c r="B23" s="462" t="s">
        <v>513</v>
      </c>
      <c r="C23" s="460"/>
      <c r="D23" s="460"/>
      <c r="E23" s="460"/>
      <c r="F23" s="460"/>
      <c r="G23" s="460"/>
      <c r="H23" s="457">
        <v>1.4</v>
      </c>
      <c r="I23" s="458">
        <f t="shared" si="2"/>
        <v>0</v>
      </c>
      <c r="J23" s="461"/>
      <c r="K23" s="461"/>
      <c r="L23" s="461"/>
      <c r="M23" s="461"/>
      <c r="N23" s="461"/>
      <c r="O23" s="461">
        <v>0</v>
      </c>
      <c r="P23" s="461">
        <v>0</v>
      </c>
      <c r="Q23" s="455">
        <f>SUMPRODUCT($J$5:$P$5,J23:P23)</f>
        <v>0</v>
      </c>
    </row>
    <row r="24" spans="2:17" ht="14.4" x14ac:dyDescent="0.3">
      <c r="B24" s="462" t="s">
        <v>514</v>
      </c>
      <c r="C24" s="460"/>
      <c r="D24" s="460"/>
      <c r="E24" s="460"/>
      <c r="F24" s="460"/>
      <c r="G24" s="460"/>
      <c r="H24" s="457">
        <v>1.4</v>
      </c>
      <c r="I24" s="458">
        <f t="shared" si="2"/>
        <v>0</v>
      </c>
      <c r="J24" s="461"/>
      <c r="K24" s="461"/>
      <c r="L24" s="461"/>
      <c r="M24" s="461"/>
      <c r="N24" s="461"/>
      <c r="O24" s="461">
        <v>0</v>
      </c>
      <c r="P24" s="461">
        <v>0</v>
      </c>
      <c r="Q24" s="455">
        <f t="shared" ref="Q24:Q25" si="7">SUMPRODUCT($J$5:$P$5,J24:P24)</f>
        <v>0</v>
      </c>
    </row>
    <row r="25" spans="2:17" ht="14.4" x14ac:dyDescent="0.3">
      <c r="B25" s="462" t="s">
        <v>515</v>
      </c>
      <c r="C25" s="460"/>
      <c r="D25" s="460"/>
      <c r="E25" s="460"/>
      <c r="F25" s="460"/>
      <c r="G25" s="460"/>
      <c r="H25" s="457">
        <v>1.4</v>
      </c>
      <c r="I25" s="458">
        <f t="shared" si="2"/>
        <v>0</v>
      </c>
      <c r="J25" s="461"/>
      <c r="K25" s="461"/>
      <c r="L25" s="461"/>
      <c r="M25" s="461"/>
      <c r="N25" s="461"/>
      <c r="O25" s="461">
        <v>0</v>
      </c>
      <c r="P25" s="461">
        <v>0</v>
      </c>
      <c r="Q25" s="455">
        <f t="shared" si="7"/>
        <v>0</v>
      </c>
    </row>
    <row r="26" spans="2:17" ht="14.4" x14ac:dyDescent="0.3">
      <c r="B26" s="459" t="s">
        <v>520</v>
      </c>
      <c r="C26" s="460"/>
      <c r="D26" s="460"/>
      <c r="E26" s="460"/>
      <c r="F26" s="460"/>
      <c r="G26" s="460"/>
      <c r="H26" s="457">
        <v>1.4</v>
      </c>
      <c r="I26" s="458">
        <f t="shared" si="2"/>
        <v>0</v>
      </c>
      <c r="J26" s="461"/>
      <c r="K26" s="461"/>
      <c r="L26" s="461"/>
      <c r="M26" s="461"/>
      <c r="N26" s="461"/>
      <c r="O26" s="461">
        <v>0</v>
      </c>
      <c r="P26" s="461">
        <v>0</v>
      </c>
      <c r="Q26" s="455">
        <f>SUM(Q27:Q29)</f>
        <v>0</v>
      </c>
    </row>
    <row r="27" spans="2:17" ht="14.4" x14ac:dyDescent="0.3">
      <c r="B27" s="462" t="s">
        <v>513</v>
      </c>
      <c r="C27" s="460"/>
      <c r="D27" s="460"/>
      <c r="E27" s="460"/>
      <c r="F27" s="460"/>
      <c r="G27" s="460"/>
      <c r="H27" s="457">
        <v>1.4</v>
      </c>
      <c r="I27" s="458">
        <f t="shared" si="2"/>
        <v>0</v>
      </c>
      <c r="J27" s="461"/>
      <c r="K27" s="461"/>
      <c r="L27" s="461"/>
      <c r="M27" s="461"/>
      <c r="N27" s="461"/>
      <c r="O27" s="461">
        <v>0</v>
      </c>
      <c r="P27" s="461">
        <v>0</v>
      </c>
      <c r="Q27" s="455">
        <f>SUMPRODUCT($J$5:$P$5,J27:P27)</f>
        <v>0</v>
      </c>
    </row>
    <row r="28" spans="2:17" ht="14.4" x14ac:dyDescent="0.3">
      <c r="B28" s="462" t="s">
        <v>514</v>
      </c>
      <c r="C28" s="460"/>
      <c r="D28" s="460"/>
      <c r="E28" s="460"/>
      <c r="F28" s="460"/>
      <c r="G28" s="460"/>
      <c r="H28" s="457">
        <v>1.4</v>
      </c>
      <c r="I28" s="458">
        <f t="shared" si="2"/>
        <v>0</v>
      </c>
      <c r="J28" s="461"/>
      <c r="K28" s="461"/>
      <c r="L28" s="461"/>
      <c r="M28" s="461"/>
      <c r="N28" s="461"/>
      <c r="O28" s="461">
        <v>0</v>
      </c>
      <c r="P28" s="461">
        <v>0</v>
      </c>
      <c r="Q28" s="455">
        <f t="shared" ref="Q28:Q29" si="8">SUMPRODUCT($J$5:$P$5,J28:P28)</f>
        <v>0</v>
      </c>
    </row>
    <row r="29" spans="2:17" ht="14.4" x14ac:dyDescent="0.3">
      <c r="B29" s="462" t="s">
        <v>515</v>
      </c>
      <c r="C29" s="460"/>
      <c r="D29" s="460"/>
      <c r="E29" s="460"/>
      <c r="F29" s="460"/>
      <c r="G29" s="460"/>
      <c r="H29" s="457">
        <v>1.4</v>
      </c>
      <c r="I29" s="458">
        <f t="shared" si="2"/>
        <v>0</v>
      </c>
      <c r="J29" s="461"/>
      <c r="K29" s="461"/>
      <c r="L29" s="461"/>
      <c r="M29" s="461"/>
      <c r="N29" s="461"/>
      <c r="O29" s="461">
        <v>0</v>
      </c>
      <c r="P29" s="461">
        <v>0</v>
      </c>
      <c r="Q29" s="455">
        <f t="shared" si="8"/>
        <v>0</v>
      </c>
    </row>
    <row r="30" spans="2:17" ht="14.4" x14ac:dyDescent="0.3">
      <c r="B30" s="463" t="s">
        <v>521</v>
      </c>
      <c r="C30" s="460"/>
      <c r="D30" s="460"/>
      <c r="E30" s="460"/>
      <c r="F30" s="460"/>
      <c r="G30" s="460"/>
      <c r="H30" s="457">
        <v>1.4</v>
      </c>
      <c r="I30" s="458">
        <f t="shared" si="2"/>
        <v>0</v>
      </c>
      <c r="J30" s="461"/>
      <c r="K30" s="461"/>
      <c r="L30" s="461"/>
      <c r="M30" s="461"/>
      <c r="N30" s="461"/>
      <c r="O30" s="461">
        <v>0</v>
      </c>
      <c r="P30" s="461">
        <v>0</v>
      </c>
      <c r="Q30" s="455">
        <f>SUM(Q31:Q33)</f>
        <v>0</v>
      </c>
    </row>
    <row r="31" spans="2:17" ht="14.4" x14ac:dyDescent="0.3">
      <c r="B31" s="462" t="s">
        <v>513</v>
      </c>
      <c r="C31" s="460"/>
      <c r="D31" s="460"/>
      <c r="E31" s="460"/>
      <c r="F31" s="460"/>
      <c r="G31" s="460"/>
      <c r="H31" s="457">
        <v>1.4</v>
      </c>
      <c r="I31" s="458">
        <f t="shared" si="2"/>
        <v>0</v>
      </c>
      <c r="J31" s="461"/>
      <c r="K31" s="461"/>
      <c r="L31" s="461"/>
      <c r="M31" s="461"/>
      <c r="N31" s="461"/>
      <c r="O31" s="461">
        <v>0</v>
      </c>
      <c r="P31" s="461">
        <v>0</v>
      </c>
      <c r="Q31" s="455">
        <f>SUMPRODUCT($J$5:$P$5,J31:P31)</f>
        <v>0</v>
      </c>
    </row>
    <row r="32" spans="2:17" ht="14.4" x14ac:dyDescent="0.3">
      <c r="B32" s="462" t="s">
        <v>514</v>
      </c>
      <c r="C32" s="460"/>
      <c r="D32" s="460"/>
      <c r="E32" s="460"/>
      <c r="F32" s="460"/>
      <c r="G32" s="460"/>
      <c r="H32" s="457">
        <v>1.4</v>
      </c>
      <c r="I32" s="458">
        <f t="shared" si="2"/>
        <v>0</v>
      </c>
      <c r="J32" s="461"/>
      <c r="K32" s="461"/>
      <c r="L32" s="461"/>
      <c r="M32" s="461"/>
      <c r="N32" s="461"/>
      <c r="O32" s="461">
        <v>0</v>
      </c>
      <c r="P32" s="461">
        <v>0</v>
      </c>
      <c r="Q32" s="455">
        <f t="shared" ref="Q32:Q33" si="9">SUMPRODUCT($J$5:$P$5,J32:P32)</f>
        <v>0</v>
      </c>
    </row>
    <row r="33" spans="2:17" ht="14.4" x14ac:dyDescent="0.3">
      <c r="B33" s="462" t="s">
        <v>515</v>
      </c>
      <c r="C33" s="460"/>
      <c r="D33" s="460"/>
      <c r="E33" s="460"/>
      <c r="F33" s="460"/>
      <c r="G33" s="460"/>
      <c r="H33" s="457">
        <v>1.4</v>
      </c>
      <c r="I33" s="458">
        <f t="shared" si="2"/>
        <v>0</v>
      </c>
      <c r="J33" s="461"/>
      <c r="K33" s="461"/>
      <c r="L33" s="461"/>
      <c r="M33" s="461"/>
      <c r="N33" s="461"/>
      <c r="O33" s="461">
        <v>0</v>
      </c>
      <c r="P33" s="461">
        <v>0</v>
      </c>
      <c r="Q33" s="455">
        <f t="shared" si="9"/>
        <v>0</v>
      </c>
    </row>
    <row r="34" spans="2:17" ht="14.4" x14ac:dyDescent="0.3">
      <c r="B34" s="464" t="s">
        <v>88</v>
      </c>
      <c r="C34" s="465">
        <f>C6</f>
        <v>33207600</v>
      </c>
      <c r="D34" s="465" t="b">
        <f t="shared" ref="D34:G34" si="10">D6</f>
        <v>0</v>
      </c>
      <c r="E34" s="465" t="b">
        <f t="shared" si="10"/>
        <v>0</v>
      </c>
      <c r="F34" s="465">
        <f t="shared" si="10"/>
        <v>114152.5438602278</v>
      </c>
      <c r="G34" s="465">
        <f t="shared" si="10"/>
        <v>563893.64174586709</v>
      </c>
      <c r="H34" s="457">
        <v>1.4</v>
      </c>
      <c r="I34" s="458">
        <f>(F34+G34)*H34</f>
        <v>949264.65984853276</v>
      </c>
      <c r="J34" s="465" t="b">
        <f t="shared" ref="J34:Q34" si="11">J6</f>
        <v>0</v>
      </c>
      <c r="K34" s="465" t="b">
        <f t="shared" si="11"/>
        <v>0</v>
      </c>
      <c r="L34" s="465" t="b">
        <f t="shared" si="11"/>
        <v>0</v>
      </c>
      <c r="M34" s="465" t="b">
        <f t="shared" si="11"/>
        <v>0</v>
      </c>
      <c r="N34" s="465" t="b">
        <f t="shared" si="11"/>
        <v>0</v>
      </c>
      <c r="O34" s="465">
        <f t="shared" si="11"/>
        <v>949264.65984853276</v>
      </c>
      <c r="P34" s="465" t="b">
        <f t="shared" si="11"/>
        <v>0</v>
      </c>
      <c r="Q34" s="465">
        <f t="shared" si="11"/>
        <v>949264.65984853276</v>
      </c>
    </row>
  </sheetData>
  <conditionalFormatting sqref="I7:I34">
    <cfRule type="expression" dxfId="28" priority="1">
      <formula>(C7*#REF!)&lt;&gt;SUM(#REF!)</formula>
    </cfRule>
  </conditionalFormatting>
  <pageMargins left="0.7" right="0.7" top="0.75" bottom="0.75" header="0.3" footer="0.3"/>
  <pageSetup paperSize="0" orientation="portrait" horizontalDpi="0" verticalDpi="0" copies="0"/>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3B84-5BE9-42F1-97A9-DBEFE6CD3749}">
  <dimension ref="A1:D39"/>
  <sheetViews>
    <sheetView zoomScale="130" zoomScaleNormal="130" workbookViewId="0">
      <selection activeCell="C40" sqref="C40"/>
    </sheetView>
  </sheetViews>
  <sheetFormatPr defaultRowHeight="14.4" x14ac:dyDescent="0.3"/>
  <cols>
    <col min="1" max="1" width="11.44140625" customWidth="1"/>
    <col min="2" max="2" width="76.88671875" style="176" customWidth="1"/>
    <col min="3" max="3" width="22.88671875" customWidth="1"/>
    <col min="5" max="5" width="23.6640625" customWidth="1"/>
  </cols>
  <sheetData>
    <row r="1" spans="1:4" x14ac:dyDescent="0.3">
      <c r="A1" s="20" t="s">
        <v>41</v>
      </c>
      <c r="B1" t="str">
        <f>Info!C2</f>
        <v>სს სილქ ბანკი</v>
      </c>
    </row>
    <row r="2" spans="1:4" x14ac:dyDescent="0.3">
      <c r="A2" s="20" t="s">
        <v>42</v>
      </c>
      <c r="B2" s="24">
        <f>'1. key ratios'!B2</f>
        <v>45747</v>
      </c>
    </row>
    <row r="3" spans="1:4" x14ac:dyDescent="0.3">
      <c r="A3" s="20"/>
      <c r="B3"/>
    </row>
    <row r="4" spans="1:4" ht="40.5" customHeight="1" x14ac:dyDescent="0.3">
      <c r="A4" s="20" t="s">
        <v>522</v>
      </c>
      <c r="B4" t="s">
        <v>29</v>
      </c>
    </row>
    <row r="5" spans="1:4" x14ac:dyDescent="0.3">
      <c r="A5" s="466"/>
      <c r="B5" s="466" t="s">
        <v>523</v>
      </c>
      <c r="C5" s="467"/>
    </row>
    <row r="6" spans="1:4" x14ac:dyDescent="0.3">
      <c r="A6" s="468">
        <v>1</v>
      </c>
      <c r="B6" s="469" t="s">
        <v>523</v>
      </c>
      <c r="C6" s="746">
        <v>211813784.24103907</v>
      </c>
      <c r="D6" s="470"/>
    </row>
    <row r="7" spans="1:4" x14ac:dyDescent="0.3">
      <c r="A7" s="468">
        <v>2</v>
      </c>
      <c r="B7" s="469" t="s">
        <v>524</v>
      </c>
      <c r="C7" s="746">
        <v>-17519538.772287145</v>
      </c>
    </row>
    <row r="8" spans="1:4" x14ac:dyDescent="0.3">
      <c r="A8" s="471">
        <v>3</v>
      </c>
      <c r="B8" s="472" t="s">
        <v>525</v>
      </c>
      <c r="C8" s="473">
        <f>C6+C7</f>
        <v>194294245.46875191</v>
      </c>
    </row>
    <row r="9" spans="1:4" x14ac:dyDescent="0.3">
      <c r="A9" s="474"/>
      <c r="B9" s="474" t="s">
        <v>526</v>
      </c>
      <c r="C9" s="475"/>
    </row>
    <row r="10" spans="1:4" x14ac:dyDescent="0.3">
      <c r="A10" s="476">
        <v>4</v>
      </c>
      <c r="B10" s="477" t="s">
        <v>527</v>
      </c>
      <c r="C10" s="478"/>
    </row>
    <row r="11" spans="1:4" x14ac:dyDescent="0.3">
      <c r="A11" s="476">
        <v>5</v>
      </c>
      <c r="B11" s="479" t="s">
        <v>528</v>
      </c>
      <c r="C11" s="478"/>
    </row>
    <row r="12" spans="1:4" x14ac:dyDescent="0.3">
      <c r="A12" s="476">
        <v>6</v>
      </c>
      <c r="B12" s="469" t="s">
        <v>1036</v>
      </c>
      <c r="C12" s="473">
        <v>949264.65984853276</v>
      </c>
    </row>
    <row r="13" spans="1:4" x14ac:dyDescent="0.3">
      <c r="A13" s="480">
        <v>7</v>
      </c>
      <c r="B13" s="481" t="s">
        <v>529</v>
      </c>
      <c r="C13" s="478"/>
    </row>
    <row r="14" spans="1:4" x14ac:dyDescent="0.3">
      <c r="A14" s="482">
        <v>8</v>
      </c>
      <c r="B14" s="483" t="s">
        <v>530</v>
      </c>
      <c r="C14" s="473">
        <f>SUM(C10:C13)</f>
        <v>949264.65984853276</v>
      </c>
    </row>
    <row r="15" spans="1:4" x14ac:dyDescent="0.3">
      <c r="A15" s="474"/>
      <c r="B15" s="474" t="s">
        <v>531</v>
      </c>
      <c r="C15" s="484"/>
    </row>
    <row r="16" spans="1:4" x14ac:dyDescent="0.3">
      <c r="A16" s="480">
        <v>9</v>
      </c>
      <c r="B16" s="477" t="s">
        <v>532</v>
      </c>
      <c r="C16" s="478"/>
    </row>
    <row r="17" spans="1:3" x14ac:dyDescent="0.3">
      <c r="A17" s="480">
        <v>10</v>
      </c>
      <c r="B17" s="477" t="s">
        <v>533</v>
      </c>
      <c r="C17" s="478"/>
    </row>
    <row r="18" spans="1:3" x14ac:dyDescent="0.3">
      <c r="A18" s="480">
        <v>11</v>
      </c>
      <c r="B18" s="485" t="s">
        <v>534</v>
      </c>
      <c r="C18" s="478"/>
    </row>
    <row r="19" spans="1:3" ht="22.8" x14ac:dyDescent="0.3">
      <c r="A19" s="480">
        <v>12</v>
      </c>
      <c r="B19" s="477" t="s">
        <v>535</v>
      </c>
      <c r="C19" s="478"/>
    </row>
    <row r="20" spans="1:3" x14ac:dyDescent="0.3">
      <c r="A20" s="480">
        <v>13</v>
      </c>
      <c r="B20" s="477" t="s">
        <v>536</v>
      </c>
      <c r="C20" s="478"/>
    </row>
    <row r="21" spans="1:3" x14ac:dyDescent="0.3">
      <c r="A21" s="480">
        <v>14</v>
      </c>
      <c r="B21" s="469" t="s">
        <v>537</v>
      </c>
      <c r="C21" s="478"/>
    </row>
    <row r="22" spans="1:3" x14ac:dyDescent="0.3">
      <c r="A22" s="482">
        <v>15</v>
      </c>
      <c r="B22" s="483" t="s">
        <v>538</v>
      </c>
      <c r="C22" s="473">
        <f>SUM(C16:C21)</f>
        <v>0</v>
      </c>
    </row>
    <row r="23" spans="1:3" x14ac:dyDescent="0.3">
      <c r="A23" s="474"/>
      <c r="B23" s="474" t="s">
        <v>539</v>
      </c>
      <c r="C23" s="475"/>
    </row>
    <row r="24" spans="1:3" x14ac:dyDescent="0.3">
      <c r="A24" s="476">
        <v>16</v>
      </c>
      <c r="B24" s="469" t="s">
        <v>540</v>
      </c>
      <c r="C24" s="478">
        <v>23601734.677524239</v>
      </c>
    </row>
    <row r="25" spans="1:3" x14ac:dyDescent="0.3">
      <c r="A25" s="476">
        <v>17</v>
      </c>
      <c r="B25" s="469" t="s">
        <v>541</v>
      </c>
      <c r="C25" s="478">
        <v>-16198683.097561151</v>
      </c>
    </row>
    <row r="26" spans="1:3" x14ac:dyDescent="0.3">
      <c r="A26" s="482">
        <v>18</v>
      </c>
      <c r="B26" s="483" t="s">
        <v>542</v>
      </c>
      <c r="C26" s="473">
        <f>C24+C25</f>
        <v>7403051.579963088</v>
      </c>
    </row>
    <row r="27" spans="1:3" x14ac:dyDescent="0.3">
      <c r="A27" s="486"/>
      <c r="B27" s="474" t="s">
        <v>543</v>
      </c>
      <c r="C27" s="475"/>
    </row>
    <row r="28" spans="1:3" x14ac:dyDescent="0.3">
      <c r="A28" s="476">
        <v>19</v>
      </c>
      <c r="B28" s="477" t="s">
        <v>544</v>
      </c>
      <c r="C28" s="487"/>
    </row>
    <row r="29" spans="1:3" x14ac:dyDescent="0.3">
      <c r="A29" s="476">
        <v>20</v>
      </c>
      <c r="B29" s="479" t="s">
        <v>545</v>
      </c>
      <c r="C29" s="487"/>
    </row>
    <row r="30" spans="1:3" x14ac:dyDescent="0.3">
      <c r="A30" s="474"/>
      <c r="B30" s="474" t="s">
        <v>546</v>
      </c>
      <c r="C30" s="475"/>
    </row>
    <row r="31" spans="1:3" x14ac:dyDescent="0.3">
      <c r="A31" s="482">
        <v>21</v>
      </c>
      <c r="B31" s="483" t="s">
        <v>49</v>
      </c>
      <c r="C31" s="473">
        <f>'1. key ratios'!C9</f>
        <v>51747766.37973205</v>
      </c>
    </row>
    <row r="32" spans="1:3" x14ac:dyDescent="0.3">
      <c r="A32" s="482">
        <v>22</v>
      </c>
      <c r="B32" s="483" t="s">
        <v>547</v>
      </c>
      <c r="C32" s="473">
        <f>C8+C14+C22+C26</f>
        <v>202646561.70856354</v>
      </c>
    </row>
    <row r="33" spans="1:3" x14ac:dyDescent="0.3">
      <c r="A33" s="488"/>
      <c r="B33" s="488" t="s">
        <v>29</v>
      </c>
      <c r="C33" s="475"/>
    </row>
    <row r="34" spans="1:3" x14ac:dyDescent="0.3">
      <c r="A34" s="482">
        <v>23</v>
      </c>
      <c r="B34" s="483" t="s">
        <v>29</v>
      </c>
      <c r="C34" s="489">
        <f>IFERROR(C31/C32,0)</f>
        <v>0.25535970580222911</v>
      </c>
    </row>
    <row r="35" spans="1:3" x14ac:dyDescent="0.3">
      <c r="A35" s="488"/>
      <c r="B35" s="488" t="s">
        <v>548</v>
      </c>
      <c r="C35" s="475"/>
    </row>
    <row r="36" spans="1:3" x14ac:dyDescent="0.3">
      <c r="A36" s="490" t="s">
        <v>549</v>
      </c>
      <c r="B36" s="477" t="s">
        <v>550</v>
      </c>
      <c r="C36" s="487"/>
    </row>
    <row r="37" spans="1:3" x14ac:dyDescent="0.3">
      <c r="A37" s="491" t="s">
        <v>551</v>
      </c>
      <c r="B37" s="479" t="s">
        <v>552</v>
      </c>
      <c r="C37" s="487"/>
    </row>
    <row r="39" spans="1:3" x14ac:dyDescent="0.3">
      <c r="B39" s="49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7B38-1153-4FC4-AD84-9D126D16A544}">
  <dimension ref="A1:F9"/>
  <sheetViews>
    <sheetView topLeftCell="C1" zoomScale="130" zoomScaleNormal="130" workbookViewId="0">
      <selection activeCell="F13" sqref="F13"/>
    </sheetView>
  </sheetViews>
  <sheetFormatPr defaultRowHeight="14.4" x14ac:dyDescent="0.3"/>
  <cols>
    <col min="1" max="1" width="11.44140625" customWidth="1"/>
    <col min="2" max="2" width="76.77734375" style="176" customWidth="1"/>
    <col min="3" max="6" width="24.44140625" customWidth="1"/>
  </cols>
  <sheetData>
    <row r="1" spans="1:6" x14ac:dyDescent="0.3">
      <c r="A1" s="23" t="s">
        <v>41</v>
      </c>
      <c r="B1" t="str">
        <f>'15.1. LR'!B1</f>
        <v>სს სილქ ბანკი</v>
      </c>
    </row>
    <row r="2" spans="1:6" x14ac:dyDescent="0.3">
      <c r="A2" s="20" t="s">
        <v>42</v>
      </c>
      <c r="B2" s="24">
        <f>'15.1. LR'!B2</f>
        <v>45747</v>
      </c>
    </row>
    <row r="3" spans="1:6" x14ac:dyDescent="0.3">
      <c r="A3" s="20"/>
      <c r="B3"/>
    </row>
    <row r="4" spans="1:6" x14ac:dyDescent="0.3">
      <c r="A4" s="493" t="s">
        <v>553</v>
      </c>
    </row>
    <row r="5" spans="1:6" ht="86.4" x14ac:dyDescent="0.3">
      <c r="B5" s="461"/>
      <c r="C5" s="494" t="s">
        <v>554</v>
      </c>
      <c r="D5" s="494" t="s">
        <v>555</v>
      </c>
      <c r="E5" s="494" t="s">
        <v>556</v>
      </c>
      <c r="F5" s="494" t="s">
        <v>557</v>
      </c>
    </row>
    <row r="6" spans="1:6" x14ac:dyDescent="0.3">
      <c r="B6" s="495" t="s">
        <v>558</v>
      </c>
      <c r="C6" s="455">
        <f>IF(C7&gt;0,C7,IF(C8&gt;0,C8,IF(C9&gt;0,C9)))</f>
        <v>540088.26727928466</v>
      </c>
      <c r="D6" s="455" t="b">
        <f>IF(D7&gt;0,D7,IF(D8&gt;0,D8,IF(D9&gt;0,D9)))</f>
        <v>0</v>
      </c>
      <c r="E6" s="455" t="b">
        <f>IF(E7&gt;0,E7,IF(E8&gt;0,E8,IF(E9&gt;0,E9)))</f>
        <v>0</v>
      </c>
      <c r="F6" s="455">
        <f>IF(F7&gt;0,F7,IF(F8&gt;0,F8,IF(F9&gt;0,F9)))</f>
        <v>540088.26727928466</v>
      </c>
    </row>
    <row r="7" spans="1:6" x14ac:dyDescent="0.3">
      <c r="B7" s="496" t="s">
        <v>513</v>
      </c>
      <c r="C7" s="497">
        <v>540088.26727928466</v>
      </c>
      <c r="D7" s="497">
        <v>0</v>
      </c>
      <c r="E7" s="497">
        <v>0</v>
      </c>
      <c r="F7" s="497">
        <v>540088.26727928466</v>
      </c>
    </row>
    <row r="8" spans="1:6" x14ac:dyDescent="0.3">
      <c r="B8" s="496" t="s">
        <v>514</v>
      </c>
      <c r="C8" s="497">
        <v>619947.66939558438</v>
      </c>
      <c r="D8" s="497">
        <v>0</v>
      </c>
      <c r="E8" s="497">
        <v>0</v>
      </c>
      <c r="F8" s="497">
        <v>619947.66939558438</v>
      </c>
    </row>
    <row r="9" spans="1:6" x14ac:dyDescent="0.3">
      <c r="B9" s="496" t="s">
        <v>515</v>
      </c>
      <c r="C9" s="497">
        <v>1177559.3972274926</v>
      </c>
      <c r="D9" s="497">
        <v>0</v>
      </c>
      <c r="E9" s="497">
        <v>0</v>
      </c>
      <c r="F9" s="497">
        <v>1177559.3972274926</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853C-65C6-48FA-8CBE-6280C5B9221E}">
  <dimension ref="A1:I42"/>
  <sheetViews>
    <sheetView zoomScale="115" zoomScaleNormal="115" workbookViewId="0">
      <pane xSplit="2" ySplit="6" topLeftCell="C33" activePane="bottomRight" state="frozen"/>
      <selection activeCell="B2" sqref="B2:C6"/>
      <selection pane="topRight" activeCell="B2" sqref="B2:C6"/>
      <selection pane="bottomLeft" activeCell="B2" sqref="B2:C6"/>
      <selection pane="bottomRight" activeCell="F43" sqref="F43"/>
    </sheetView>
  </sheetViews>
  <sheetFormatPr defaultRowHeight="14.4" x14ac:dyDescent="0.3"/>
  <cols>
    <col min="1" max="1" width="9.88671875" style="20" bestFit="1" customWidth="1"/>
    <col min="2" max="2" width="95.109375" style="53" customWidth="1"/>
    <col min="3" max="7" width="17.5546875" style="20" customWidth="1"/>
    <col min="8" max="8" width="14.5546875" bestFit="1" customWidth="1"/>
    <col min="9" max="9" width="11.109375" bestFit="1" customWidth="1"/>
  </cols>
  <sheetData>
    <row r="1" spans="1:9" x14ac:dyDescent="0.3">
      <c r="A1" s="20" t="s">
        <v>41</v>
      </c>
      <c r="B1" s="20" t="str">
        <f>Info!C2</f>
        <v>სს სილქ ბანკი</v>
      </c>
      <c r="G1" s="163"/>
    </row>
    <row r="2" spans="1:9" x14ac:dyDescent="0.3">
      <c r="A2" s="20" t="s">
        <v>42</v>
      </c>
      <c r="B2" s="24">
        <f>'1. key ratios'!B2</f>
        <v>45747</v>
      </c>
    </row>
    <row r="3" spans="1:9" x14ac:dyDescent="0.3">
      <c r="B3" s="289"/>
    </row>
    <row r="4" spans="1:9" ht="40.5" customHeight="1" thickBot="1" x14ac:dyDescent="0.35">
      <c r="A4" s="20" t="s">
        <v>559</v>
      </c>
      <c r="B4" s="362" t="s">
        <v>30</v>
      </c>
    </row>
    <row r="5" spans="1:9" x14ac:dyDescent="0.3">
      <c r="A5" s="498"/>
      <c r="B5" s="499"/>
      <c r="C5" s="878" t="s">
        <v>560</v>
      </c>
      <c r="D5" s="878"/>
      <c r="E5" s="878"/>
      <c r="F5" s="878"/>
      <c r="G5" s="879" t="s">
        <v>561</v>
      </c>
    </row>
    <row r="6" spans="1:9" x14ac:dyDescent="0.3">
      <c r="A6" s="500"/>
      <c r="B6" s="501"/>
      <c r="C6" s="502" t="s">
        <v>562</v>
      </c>
      <c r="D6" s="502" t="s">
        <v>563</v>
      </c>
      <c r="E6" s="502" t="s">
        <v>564</v>
      </c>
      <c r="F6" s="502" t="s">
        <v>565</v>
      </c>
      <c r="G6" s="880"/>
    </row>
    <row r="7" spans="1:9" x14ac:dyDescent="0.3">
      <c r="A7" s="503"/>
      <c r="B7" s="504" t="s">
        <v>79</v>
      </c>
      <c r="C7" s="505"/>
      <c r="D7" s="505"/>
      <c r="E7" s="505"/>
      <c r="F7" s="505"/>
      <c r="G7" s="506"/>
    </row>
    <row r="8" spans="1:9" x14ac:dyDescent="0.3">
      <c r="A8" s="406">
        <v>1</v>
      </c>
      <c r="B8" s="507" t="s">
        <v>566</v>
      </c>
      <c r="C8" s="67">
        <f>SUM(C9:C10)</f>
        <v>55325331.81973204</v>
      </c>
      <c r="D8" s="67">
        <f>SUM(D9:D10)</f>
        <v>0</v>
      </c>
      <c r="E8" s="67">
        <f>SUM(E9:E10)</f>
        <v>0</v>
      </c>
      <c r="F8" s="67">
        <f>SUM(F9)</f>
        <v>0</v>
      </c>
      <c r="G8" s="508">
        <f>SUM(G9)</f>
        <v>55325331.81973204</v>
      </c>
    </row>
    <row r="9" spans="1:9" x14ac:dyDescent="0.3">
      <c r="A9" s="406">
        <v>2</v>
      </c>
      <c r="B9" s="509" t="s">
        <v>20</v>
      </c>
      <c r="C9" s="67">
        <v>55325331.81973204</v>
      </c>
      <c r="D9" s="67"/>
      <c r="E9" s="67"/>
      <c r="F9" s="67">
        <v>0</v>
      </c>
      <c r="G9" s="508">
        <f>SUM(C9:F9)*1</f>
        <v>55325331.81973204</v>
      </c>
    </row>
    <row r="10" spans="1:9" x14ac:dyDescent="0.3">
      <c r="A10" s="406">
        <v>3</v>
      </c>
      <c r="B10" s="509" t="s">
        <v>567</v>
      </c>
      <c r="C10" s="510"/>
      <c r="D10" s="510"/>
      <c r="E10" s="510"/>
      <c r="F10" s="67">
        <v>21322067.709817775</v>
      </c>
      <c r="G10" s="508">
        <f>SUM(C10:F10)*1</f>
        <v>21322067.709817775</v>
      </c>
    </row>
    <row r="11" spans="1:9" x14ac:dyDescent="0.3">
      <c r="A11" s="406">
        <v>4</v>
      </c>
      <c r="B11" s="507" t="s">
        <v>568</v>
      </c>
      <c r="C11" s="67">
        <f>SUM(C12:C13)</f>
        <v>6399140.2599999998</v>
      </c>
      <c r="D11" s="67">
        <f>SUM(D12:D13)</f>
        <v>29894916.419999987</v>
      </c>
      <c r="E11" s="67">
        <f>SUM(E12:E13)</f>
        <v>12575813.830000002</v>
      </c>
      <c r="F11" s="67">
        <f>SUM(F12:F13)</f>
        <v>0</v>
      </c>
      <c r="G11" s="508">
        <f>SUM(G12:G13)</f>
        <v>44922731.495499991</v>
      </c>
    </row>
    <row r="12" spans="1:9" x14ac:dyDescent="0.3">
      <c r="A12" s="406">
        <v>5</v>
      </c>
      <c r="B12" s="509" t="s">
        <v>569</v>
      </c>
      <c r="C12" s="67">
        <v>5466190.4199999999</v>
      </c>
      <c r="D12" s="75">
        <v>28260142.529999986</v>
      </c>
      <c r="E12" s="67">
        <v>11802103.140000002</v>
      </c>
      <c r="F12" s="67">
        <v>0</v>
      </c>
      <c r="G12" s="508">
        <f>SUM(C12:F12)*0.95</f>
        <v>43252014.28549999</v>
      </c>
      <c r="H12" s="511"/>
      <c r="I12" s="58"/>
    </row>
    <row r="13" spans="1:9" x14ac:dyDescent="0.3">
      <c r="A13" s="406">
        <v>6</v>
      </c>
      <c r="B13" s="509" t="s">
        <v>570</v>
      </c>
      <c r="C13" s="67">
        <v>932949.84</v>
      </c>
      <c r="D13" s="75">
        <v>1634773.8900000004</v>
      </c>
      <c r="E13" s="67">
        <v>773710.69</v>
      </c>
      <c r="F13" s="67">
        <v>0</v>
      </c>
      <c r="G13" s="508">
        <f>SUM(C13:F13)/2</f>
        <v>1670717.2100000002</v>
      </c>
      <c r="I13" s="58">
        <f>I11-I12</f>
        <v>0</v>
      </c>
    </row>
    <row r="14" spans="1:9" x14ac:dyDescent="0.3">
      <c r="A14" s="406">
        <v>7</v>
      </c>
      <c r="B14" s="507" t="s">
        <v>571</v>
      </c>
      <c r="C14" s="67">
        <f>SUM(C15:C16)</f>
        <v>10097907.790000005</v>
      </c>
      <c r="D14" s="67">
        <f>SUM(D15:D16)</f>
        <v>67654892.650000006</v>
      </c>
      <c r="E14" s="67">
        <f>SUM(E15:E16)</f>
        <v>33207.599999999999</v>
      </c>
      <c r="F14" s="67">
        <f>SUM(F15:F16)</f>
        <v>0</v>
      </c>
      <c r="G14" s="508">
        <f>SUM(G15:G16)</f>
        <v>38860540.519999996</v>
      </c>
      <c r="I14" s="58"/>
    </row>
    <row r="15" spans="1:9" ht="55.2" x14ac:dyDescent="0.3">
      <c r="A15" s="406">
        <v>8</v>
      </c>
      <c r="B15" s="512" t="s">
        <v>572</v>
      </c>
      <c r="C15" s="67">
        <v>10032980.790000005</v>
      </c>
      <c r="D15" s="513">
        <v>66554131.690000005</v>
      </c>
      <c r="E15" s="513">
        <v>33207.599999999999</v>
      </c>
      <c r="F15" s="513">
        <v>0</v>
      </c>
      <c r="G15" s="508">
        <f>SUM(C15:F15)/2</f>
        <v>38310160.039999999</v>
      </c>
      <c r="H15" s="90"/>
      <c r="I15" s="58"/>
    </row>
    <row r="16" spans="1:9" ht="27.6" x14ac:dyDescent="0.3">
      <c r="A16" s="406">
        <v>9</v>
      </c>
      <c r="B16" s="509" t="s">
        <v>573</v>
      </c>
      <c r="C16" s="514">
        <v>64927</v>
      </c>
      <c r="D16" s="67">
        <v>1100760.96</v>
      </c>
      <c r="E16" s="67"/>
      <c r="F16" s="67"/>
      <c r="G16" s="508">
        <f>C16*0+D16/2+E16/2</f>
        <v>550380.48</v>
      </c>
    </row>
    <row r="17" spans="1:8" x14ac:dyDescent="0.3">
      <c r="A17" s="406">
        <v>10</v>
      </c>
      <c r="B17" s="507" t="s">
        <v>574</v>
      </c>
      <c r="C17" s="67"/>
      <c r="D17" s="75"/>
      <c r="E17" s="67"/>
      <c r="F17" s="67"/>
      <c r="G17" s="508"/>
    </row>
    <row r="18" spans="1:8" x14ac:dyDescent="0.3">
      <c r="A18" s="406">
        <v>11</v>
      </c>
      <c r="B18" s="507" t="s">
        <v>132</v>
      </c>
      <c r="C18" s="67">
        <f>SUM(C19:C20)</f>
        <v>1357339.1134803621</v>
      </c>
      <c r="D18" s="75">
        <f>SUM(D19:D20)</f>
        <v>35893.766611955027</v>
      </c>
      <c r="E18" s="67">
        <f>SUM(E19:E20)</f>
        <v>0</v>
      </c>
      <c r="F18" s="67">
        <f>SUM(F19:F20)</f>
        <v>0</v>
      </c>
      <c r="G18" s="508">
        <f>SUM(G19:G20)</f>
        <v>0</v>
      </c>
    </row>
    <row r="19" spans="1:8" x14ac:dyDescent="0.3">
      <c r="A19" s="406">
        <v>12</v>
      </c>
      <c r="B19" s="509" t="s">
        <v>575</v>
      </c>
      <c r="C19" s="510"/>
      <c r="D19" s="75">
        <v>35893.766611955027</v>
      </c>
      <c r="E19" s="67"/>
      <c r="F19" s="67"/>
      <c r="G19" s="508">
        <f>D19*0</f>
        <v>0</v>
      </c>
    </row>
    <row r="20" spans="1:8" ht="27.6" x14ac:dyDescent="0.3">
      <c r="A20" s="406">
        <v>13</v>
      </c>
      <c r="B20" s="509" t="s">
        <v>576</v>
      </c>
      <c r="C20" s="67">
        <v>1357339.1134803621</v>
      </c>
      <c r="D20" s="67"/>
      <c r="E20" s="67"/>
      <c r="F20" s="67"/>
      <c r="G20" s="508">
        <f>C20*0</f>
        <v>0</v>
      </c>
    </row>
    <row r="21" spans="1:8" x14ac:dyDescent="0.3">
      <c r="A21" s="515">
        <v>14</v>
      </c>
      <c r="B21" s="516" t="s">
        <v>577</v>
      </c>
      <c r="C21" s="510"/>
      <c r="D21" s="510"/>
      <c r="E21" s="510"/>
      <c r="F21" s="510"/>
      <c r="G21" s="517">
        <f>SUM(G8,G11,G14,G17,G18,G10)</f>
        <v>160430671.54504979</v>
      </c>
      <c r="H21" s="90"/>
    </row>
    <row r="22" spans="1:8" x14ac:dyDescent="0.3">
      <c r="A22" s="518"/>
      <c r="B22" s="519" t="s">
        <v>80</v>
      </c>
      <c r="C22" s="520"/>
      <c r="D22" s="521"/>
      <c r="E22" s="520"/>
      <c r="F22" s="520"/>
      <c r="G22" s="522"/>
    </row>
    <row r="23" spans="1:8" x14ac:dyDescent="0.3">
      <c r="A23" s="406">
        <v>15</v>
      </c>
      <c r="B23" s="507" t="s">
        <v>486</v>
      </c>
      <c r="C23" s="70">
        <v>52549445.50000003</v>
      </c>
      <c r="D23" s="70"/>
      <c r="E23" s="70"/>
      <c r="F23" s="70">
        <v>73336.75</v>
      </c>
      <c r="G23" s="523">
        <v>2287683.7555</v>
      </c>
    </row>
    <row r="24" spans="1:8" x14ac:dyDescent="0.3">
      <c r="A24" s="406">
        <v>16</v>
      </c>
      <c r="B24" s="507" t="s">
        <v>578</v>
      </c>
      <c r="C24" s="67">
        <f>SUM(C25:C27,C29,C31)</f>
        <v>0</v>
      </c>
      <c r="D24" s="75">
        <f>SUM(D25:D27,D29,D31)</f>
        <v>13420090.688814379</v>
      </c>
      <c r="E24" s="67">
        <f>SUM(E25:E27,E29,E31)</f>
        <v>17551296.103316315</v>
      </c>
      <c r="F24" s="67">
        <f>SUM(F25:F27,F29,F31)</f>
        <v>99887434.784112215</v>
      </c>
      <c r="G24" s="508">
        <f>SUM(G25:G27,G29,G31)</f>
        <v>100636479.26245834</v>
      </c>
    </row>
    <row r="25" spans="1:8" ht="27.6" x14ac:dyDescent="0.3">
      <c r="A25" s="406">
        <v>17</v>
      </c>
      <c r="B25" s="509" t="s">
        <v>579</v>
      </c>
      <c r="C25" s="67"/>
      <c r="D25" s="75"/>
      <c r="E25" s="67"/>
      <c r="F25" s="67"/>
      <c r="G25" s="508"/>
    </row>
    <row r="26" spans="1:8" ht="27.6" x14ac:dyDescent="0.3">
      <c r="A26" s="406">
        <v>18</v>
      </c>
      <c r="B26" s="509" t="s">
        <v>580</v>
      </c>
      <c r="C26" s="67"/>
      <c r="D26" s="75">
        <v>379391.93999999994</v>
      </c>
      <c r="E26" s="67"/>
      <c r="F26" s="67"/>
      <c r="G26" s="508">
        <f>D26*0.15</f>
        <v>56908.79099999999</v>
      </c>
    </row>
    <row r="27" spans="1:8" x14ac:dyDescent="0.3">
      <c r="A27" s="406">
        <v>19</v>
      </c>
      <c r="B27" s="509" t="s">
        <v>581</v>
      </c>
      <c r="C27" s="67"/>
      <c r="D27" s="70">
        <v>13040698.74881438</v>
      </c>
      <c r="E27" s="70">
        <v>17551296.103316315</v>
      </c>
      <c r="F27" s="70">
        <v>99043496.029395729</v>
      </c>
      <c r="G27" s="508">
        <v>99862222.529949337</v>
      </c>
    </row>
    <row r="28" spans="1:8" x14ac:dyDescent="0.3">
      <c r="A28" s="406">
        <v>20</v>
      </c>
      <c r="B28" s="524" t="s">
        <v>582</v>
      </c>
      <c r="C28" s="67"/>
      <c r="E28" s="67"/>
      <c r="F28" s="67"/>
      <c r="G28" s="508"/>
    </row>
    <row r="29" spans="1:8" x14ac:dyDescent="0.3">
      <c r="A29" s="406">
        <v>21</v>
      </c>
      <c r="B29" s="509" t="s">
        <v>583</v>
      </c>
      <c r="C29" s="67"/>
      <c r="D29" s="75"/>
      <c r="E29" s="67"/>
      <c r="F29" s="67"/>
      <c r="G29" s="508"/>
    </row>
    <row r="30" spans="1:8" x14ac:dyDescent="0.3">
      <c r="A30" s="406">
        <v>22</v>
      </c>
      <c r="B30" s="524" t="s">
        <v>582</v>
      </c>
      <c r="C30" s="67"/>
      <c r="D30" s="75"/>
      <c r="E30" s="67"/>
      <c r="F30" s="67"/>
      <c r="G30" s="508"/>
    </row>
    <row r="31" spans="1:8" x14ac:dyDescent="0.3">
      <c r="A31" s="406">
        <v>23</v>
      </c>
      <c r="B31" s="509" t="s">
        <v>584</v>
      </c>
      <c r="C31" s="67"/>
      <c r="D31" s="70">
        <v>0</v>
      </c>
      <c r="E31" s="70"/>
      <c r="F31" s="67">
        <v>843938.7547164862</v>
      </c>
      <c r="G31" s="508">
        <f>E31*0.5+F31*0.85</f>
        <v>717347.9415090133</v>
      </c>
    </row>
    <row r="32" spans="1:8" x14ac:dyDescent="0.3">
      <c r="A32" s="406">
        <v>24</v>
      </c>
      <c r="B32" s="507" t="s">
        <v>585</v>
      </c>
      <c r="C32" s="67"/>
      <c r="D32" s="75"/>
      <c r="E32" s="67"/>
      <c r="F32" s="67"/>
      <c r="G32" s="508"/>
    </row>
    <row r="33" spans="1:7" x14ac:dyDescent="0.3">
      <c r="A33" s="406">
        <v>25</v>
      </c>
      <c r="B33" s="507" t="s">
        <v>115</v>
      </c>
      <c r="C33" s="67">
        <f>SUM(C34:C35)</f>
        <v>1653108.3510768544</v>
      </c>
      <c r="D33" s="67">
        <f>SUM(D34:D35)</f>
        <v>1065195.5771662407</v>
      </c>
      <c r="E33" s="67">
        <f>SUM(E34:E35)</f>
        <v>0</v>
      </c>
      <c r="F33" s="67">
        <f>SUM(F34:F35)</f>
        <v>19597363.659156285</v>
      </c>
      <c r="G33" s="508">
        <f>SUM(G34:G35)</f>
        <v>21858092.954052351</v>
      </c>
    </row>
    <row r="34" spans="1:7" x14ac:dyDescent="0.3">
      <c r="A34" s="406">
        <v>26</v>
      </c>
      <c r="B34" s="509" t="s">
        <v>586</v>
      </c>
      <c r="C34" s="510"/>
      <c r="D34" s="75">
        <v>150046.31047218281</v>
      </c>
      <c r="E34" s="67"/>
      <c r="F34" s="67"/>
      <c r="G34" s="508">
        <f>D34*1</f>
        <v>150046.31047218281</v>
      </c>
    </row>
    <row r="35" spans="1:7" x14ac:dyDescent="0.3">
      <c r="A35" s="406">
        <v>27</v>
      </c>
      <c r="B35" s="509" t="s">
        <v>587</v>
      </c>
      <c r="C35" s="67">
        <f>'2. SOFP'!E25-'2. SOFP'!C64-'2. SOFP'!C29</f>
        <v>1653108.3510768544</v>
      </c>
      <c r="D35" s="75">
        <v>915149.26669405773</v>
      </c>
      <c r="E35" s="67"/>
      <c r="F35" s="67">
        <v>19597363.659156285</v>
      </c>
      <c r="G35" s="508">
        <f>C35+D35*0.5+F35</f>
        <v>21708046.643580168</v>
      </c>
    </row>
    <row r="36" spans="1:7" x14ac:dyDescent="0.3">
      <c r="A36" s="406">
        <v>28</v>
      </c>
      <c r="B36" s="507" t="s">
        <v>588</v>
      </c>
      <c r="C36" s="67"/>
      <c r="D36" s="75">
        <v>11087447.77</v>
      </c>
      <c r="E36" s="67">
        <v>12149812.030000001</v>
      </c>
      <c r="F36" s="67">
        <v>464619.52000000002</v>
      </c>
      <c r="G36" s="508">
        <f>D36*0.05+E36*0.1+F36*0.15</f>
        <v>1839046.5195000002</v>
      </c>
    </row>
    <row r="37" spans="1:7" x14ac:dyDescent="0.3">
      <c r="A37" s="515">
        <v>29</v>
      </c>
      <c r="B37" s="516" t="s">
        <v>589</v>
      </c>
      <c r="C37" s="510"/>
      <c r="D37" s="510"/>
      <c r="E37" s="510"/>
      <c r="F37" s="510"/>
      <c r="G37" s="517">
        <f>SUM(G23:G24,G32:G33,G36)</f>
        <v>126621302.4915107</v>
      </c>
    </row>
    <row r="38" spans="1:7" x14ac:dyDescent="0.3">
      <c r="A38" s="503"/>
      <c r="B38" s="525"/>
      <c r="C38" s="526"/>
      <c r="D38" s="526"/>
      <c r="E38" s="526"/>
      <c r="F38" s="526"/>
      <c r="G38" s="527"/>
    </row>
    <row r="39" spans="1:7" ht="15" thickBot="1" x14ac:dyDescent="0.35">
      <c r="A39" s="528">
        <v>30</v>
      </c>
      <c r="B39" s="529" t="s">
        <v>30</v>
      </c>
      <c r="C39" s="530"/>
      <c r="D39" s="436"/>
      <c r="E39" s="436"/>
      <c r="F39" s="437"/>
      <c r="G39" s="531">
        <f>IFERROR(G21/G37,0)</f>
        <v>1.2670116985710664</v>
      </c>
    </row>
    <row r="41" spans="1:7" x14ac:dyDescent="0.3">
      <c r="D41" s="532"/>
      <c r="G41" s="747"/>
    </row>
    <row r="42" spans="1:7" ht="27.6" x14ac:dyDescent="0.3">
      <c r="B42" s="53" t="s">
        <v>590</v>
      </c>
    </row>
  </sheetData>
  <mergeCells count="2">
    <mergeCell ref="C5:F5"/>
    <mergeCell ref="G5:G6"/>
  </mergeCell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38AF-A564-41CE-AF6F-4005534D1793}">
  <dimension ref="A1:H23"/>
  <sheetViews>
    <sheetView showGridLines="0" zoomScale="130" zoomScaleNormal="130" workbookViewId="0">
      <selection activeCell="A19" sqref="A19"/>
    </sheetView>
  </sheetViews>
  <sheetFormatPr defaultColWidth="9.109375" defaultRowHeight="12" x14ac:dyDescent="0.25"/>
  <cols>
    <col min="1" max="1" width="11.88671875" style="534" bestFit="1" customWidth="1"/>
    <col min="2" max="2" width="92.33203125" style="534" customWidth="1"/>
    <col min="3" max="4" width="15.33203125" style="534" customWidth="1"/>
    <col min="5" max="5" width="17.44140625" style="534" bestFit="1" customWidth="1"/>
    <col min="6" max="6" width="15.88671875" style="534" customWidth="1"/>
    <col min="7" max="7" width="16" style="534" customWidth="1"/>
    <col min="8" max="8" width="16.88671875" style="534" customWidth="1"/>
    <col min="9" max="16384" width="9.109375" style="534"/>
  </cols>
  <sheetData>
    <row r="1" spans="1:8" ht="13.8" x14ac:dyDescent="0.3">
      <c r="A1" s="533" t="s">
        <v>41</v>
      </c>
      <c r="B1" s="22" t="str">
        <f>Info!C2</f>
        <v>სს სილქ ბანკი</v>
      </c>
    </row>
    <row r="2" spans="1:8" x14ac:dyDescent="0.25">
      <c r="A2" s="533" t="s">
        <v>42</v>
      </c>
      <c r="B2" s="535">
        <f>'1. key ratios'!B2</f>
        <v>45747</v>
      </c>
    </row>
    <row r="3" spans="1:8" x14ac:dyDescent="0.25">
      <c r="A3" s="536" t="s">
        <v>591</v>
      </c>
    </row>
    <row r="4" spans="1:8" ht="40.5" customHeight="1" x14ac:dyDescent="0.25"/>
    <row r="5" spans="1:8" x14ac:dyDescent="0.25">
      <c r="A5" s="881" t="s">
        <v>592</v>
      </c>
      <c r="B5" s="882"/>
      <c r="C5" s="887" t="s">
        <v>593</v>
      </c>
      <c r="D5" s="888"/>
      <c r="E5" s="888"/>
      <c r="F5" s="888"/>
      <c r="G5" s="888"/>
      <c r="H5" s="889"/>
    </row>
    <row r="6" spans="1:8" x14ac:dyDescent="0.25">
      <c r="A6" s="883"/>
      <c r="B6" s="884"/>
      <c r="C6" s="890"/>
      <c r="D6" s="891"/>
      <c r="E6" s="891"/>
      <c r="F6" s="891"/>
      <c r="G6" s="891"/>
      <c r="H6" s="892"/>
    </row>
    <row r="7" spans="1:8" ht="36" x14ac:dyDescent="0.25">
      <c r="A7" s="885"/>
      <c r="B7" s="886"/>
      <c r="C7" s="537" t="s">
        <v>594</v>
      </c>
      <c r="D7" s="537" t="s">
        <v>595</v>
      </c>
      <c r="E7" s="537" t="s">
        <v>596</v>
      </c>
      <c r="F7" s="537" t="s">
        <v>597</v>
      </c>
      <c r="G7" s="537" t="s">
        <v>598</v>
      </c>
      <c r="H7" s="537" t="s">
        <v>88</v>
      </c>
    </row>
    <row r="8" spans="1:8" x14ac:dyDescent="0.25">
      <c r="A8" s="538">
        <v>1</v>
      </c>
      <c r="B8" s="539" t="s">
        <v>434</v>
      </c>
      <c r="C8" s="540">
        <v>3819911.44</v>
      </c>
      <c r="D8" s="541">
        <v>7288697.0535219861</v>
      </c>
      <c r="E8" s="540">
        <v>15561726.209097767</v>
      </c>
      <c r="F8" s="540">
        <v>1450725.0687907888</v>
      </c>
      <c r="G8" s="542"/>
      <c r="H8" s="541">
        <f t="shared" ref="H8:H21" si="0">SUM(C8:G8)</f>
        <v>28121059.771410543</v>
      </c>
    </row>
    <row r="9" spans="1:8" x14ac:dyDescent="0.25">
      <c r="A9" s="538">
        <v>2</v>
      </c>
      <c r="B9" s="539" t="s">
        <v>435</v>
      </c>
      <c r="C9" s="542"/>
      <c r="D9" s="542"/>
      <c r="E9" s="542"/>
      <c r="F9" s="542"/>
      <c r="G9" s="542"/>
      <c r="H9" s="541">
        <f t="shared" si="0"/>
        <v>0</v>
      </c>
    </row>
    <row r="10" spans="1:8" x14ac:dyDescent="0.25">
      <c r="A10" s="538">
        <v>3</v>
      </c>
      <c r="B10" s="539" t="s">
        <v>436</v>
      </c>
      <c r="C10" s="542"/>
      <c r="D10" s="542"/>
      <c r="E10" s="542"/>
      <c r="F10" s="542"/>
      <c r="G10" s="542"/>
      <c r="H10" s="541">
        <f t="shared" si="0"/>
        <v>0</v>
      </c>
    </row>
    <row r="11" spans="1:8" x14ac:dyDescent="0.25">
      <c r="A11" s="538">
        <v>4</v>
      </c>
      <c r="B11" s="539" t="s">
        <v>437</v>
      </c>
      <c r="C11" s="542"/>
      <c r="D11" s="542"/>
      <c r="E11" s="542"/>
      <c r="F11" s="542"/>
      <c r="G11" s="542"/>
      <c r="H11" s="541">
        <f t="shared" si="0"/>
        <v>0</v>
      </c>
    </row>
    <row r="12" spans="1:8" x14ac:dyDescent="0.25">
      <c r="A12" s="538">
        <v>5</v>
      </c>
      <c r="B12" s="539" t="s">
        <v>438</v>
      </c>
      <c r="C12" s="542"/>
      <c r="D12" s="542"/>
      <c r="E12" s="542"/>
      <c r="F12" s="542"/>
      <c r="G12" s="542"/>
      <c r="H12" s="541">
        <f t="shared" si="0"/>
        <v>0</v>
      </c>
    </row>
    <row r="13" spans="1:8" x14ac:dyDescent="0.25">
      <c r="A13" s="538">
        <v>6</v>
      </c>
      <c r="B13" s="539" t="s">
        <v>439</v>
      </c>
      <c r="C13" s="541">
        <v>13697608.489999995</v>
      </c>
      <c r="D13" s="540">
        <v>8500000</v>
      </c>
      <c r="E13" s="542"/>
      <c r="F13" s="540">
        <v>0</v>
      </c>
      <c r="G13" s="542"/>
      <c r="H13" s="541">
        <f t="shared" si="0"/>
        <v>22197608.489999995</v>
      </c>
    </row>
    <row r="14" spans="1:8" x14ac:dyDescent="0.25">
      <c r="A14" s="544">
        <v>7</v>
      </c>
      <c r="B14" s="545" t="s">
        <v>440</v>
      </c>
      <c r="C14" s="542"/>
      <c r="D14" s="540">
        <v>24587280.436664756</v>
      </c>
      <c r="E14" s="540">
        <v>17516254.830506068</v>
      </c>
      <c r="F14" s="540">
        <v>39175746.34897048</v>
      </c>
      <c r="G14" s="546">
        <v>21776.868898653694</v>
      </c>
      <c r="H14" s="540">
        <f t="shared" si="0"/>
        <v>81301058.485039964</v>
      </c>
    </row>
    <row r="15" spans="1:8" x14ac:dyDescent="0.25">
      <c r="A15" s="544">
        <v>8</v>
      </c>
      <c r="B15" s="545" t="s">
        <v>441</v>
      </c>
      <c r="C15" s="542"/>
      <c r="D15" s="540">
        <v>6100775.4242180893</v>
      </c>
      <c r="E15" s="540">
        <v>23010718.201363008</v>
      </c>
      <c r="F15" s="540">
        <v>15934134.481016379</v>
      </c>
      <c r="G15" s="540">
        <v>3288804.28988891</v>
      </c>
      <c r="H15" s="540">
        <f>SUM(C15:G15)</f>
        <v>48334432.396486387</v>
      </c>
    </row>
    <row r="16" spans="1:8" x14ac:dyDescent="0.25">
      <c r="A16" s="538">
        <v>9</v>
      </c>
      <c r="B16" s="539" t="s">
        <v>442</v>
      </c>
      <c r="C16" s="542"/>
      <c r="D16" s="541"/>
      <c r="E16" s="541"/>
      <c r="F16" s="541"/>
      <c r="G16" s="542"/>
      <c r="H16" s="541">
        <f t="shared" si="0"/>
        <v>0</v>
      </c>
    </row>
    <row r="17" spans="1:8" x14ac:dyDescent="0.25">
      <c r="A17" s="538">
        <v>10</v>
      </c>
      <c r="B17" s="547" t="s">
        <v>443</v>
      </c>
      <c r="C17" s="542"/>
      <c r="D17" s="541">
        <v>77194.075347850041</v>
      </c>
      <c r="E17" s="541">
        <v>133410.89331666389</v>
      </c>
      <c r="F17" s="541">
        <v>462921.01043046219</v>
      </c>
      <c r="G17" s="541">
        <v>7315.3001963909855</v>
      </c>
      <c r="H17" s="541">
        <f t="shared" si="0"/>
        <v>680841.27929136704</v>
      </c>
    </row>
    <row r="18" spans="1:8" x14ac:dyDescent="0.25">
      <c r="A18" s="538">
        <v>11</v>
      </c>
      <c r="B18" s="539" t="s">
        <v>444</v>
      </c>
      <c r="C18" s="542"/>
      <c r="D18" s="546"/>
      <c r="E18" s="546"/>
      <c r="F18" s="542"/>
      <c r="G18" s="546"/>
      <c r="H18" s="541">
        <f t="shared" si="0"/>
        <v>0</v>
      </c>
    </row>
    <row r="19" spans="1:8" x14ac:dyDescent="0.25">
      <c r="A19" s="538">
        <v>12</v>
      </c>
      <c r="B19" s="539" t="s">
        <v>445</v>
      </c>
      <c r="C19" s="542"/>
      <c r="D19" s="542"/>
      <c r="E19" s="542"/>
      <c r="F19" s="542"/>
      <c r="G19" s="542"/>
      <c r="H19" s="541">
        <f t="shared" si="0"/>
        <v>0</v>
      </c>
    </row>
    <row r="20" spans="1:8" x14ac:dyDescent="0.25">
      <c r="A20" s="544">
        <v>13</v>
      </c>
      <c r="B20" s="545" t="s">
        <v>446</v>
      </c>
      <c r="C20" s="542"/>
      <c r="D20" s="542"/>
      <c r="E20" s="542"/>
      <c r="F20" s="542"/>
      <c r="G20" s="542"/>
      <c r="H20" s="541">
        <f t="shared" si="0"/>
        <v>0</v>
      </c>
    </row>
    <row r="21" spans="1:8" x14ac:dyDescent="0.25">
      <c r="A21" s="538">
        <v>14</v>
      </c>
      <c r="B21" s="539" t="s">
        <v>447</v>
      </c>
      <c r="C21" s="548">
        <f>'2. SOFP'!E8</f>
        <v>4442593.9499999983</v>
      </c>
      <c r="D21" s="548">
        <v>6921354.139628496</v>
      </c>
      <c r="E21" s="542">
        <f>'2. SOFP'!D20</f>
        <v>0</v>
      </c>
      <c r="F21" s="542"/>
      <c r="G21" s="541">
        <v>17965177</v>
      </c>
      <c r="H21" s="541">
        <f t="shared" si="0"/>
        <v>29329125.089628495</v>
      </c>
    </row>
    <row r="22" spans="1:8" x14ac:dyDescent="0.25">
      <c r="A22" s="549">
        <v>15</v>
      </c>
      <c r="B22" s="550" t="s">
        <v>88</v>
      </c>
      <c r="C22" s="541">
        <f t="shared" ref="C22:H22" si="1">SUM(C18:C21)+SUM(C8:C16)</f>
        <v>21960113.879999995</v>
      </c>
      <c r="D22" s="541">
        <f t="shared" si="1"/>
        <v>53398107.054033324</v>
      </c>
      <c r="E22" s="541">
        <f t="shared" si="1"/>
        <v>56088699.240966842</v>
      </c>
      <c r="F22" s="541">
        <f t="shared" si="1"/>
        <v>56560605.898777649</v>
      </c>
      <c r="G22" s="541">
        <f t="shared" si="1"/>
        <v>21275758.158787563</v>
      </c>
      <c r="H22" s="541">
        <f t="shared" si="1"/>
        <v>209283284.23256537</v>
      </c>
    </row>
    <row r="23" spans="1:8" x14ac:dyDescent="0.25">
      <c r="H23" s="748"/>
    </row>
  </sheetData>
  <mergeCells count="2">
    <mergeCell ref="A5:B7"/>
    <mergeCell ref="C5:H6"/>
  </mergeCells>
  <conditionalFormatting sqref="A5">
    <cfRule type="duplicateValues" dxfId="27" priority="1"/>
    <cfRule type="duplicateValues" dxfId="26" priority="2"/>
    <cfRule type="duplicateValues" dxfId="2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7C67-8CF4-4E95-BD15-777621B51437}">
  <dimension ref="A1:H24"/>
  <sheetViews>
    <sheetView showGridLines="0" topLeftCell="C6" zoomScale="145" zoomScaleNormal="145" workbookViewId="0">
      <selection activeCell="I16" sqref="I16"/>
    </sheetView>
  </sheetViews>
  <sheetFormatPr defaultColWidth="9.109375" defaultRowHeight="12" x14ac:dyDescent="0.25"/>
  <cols>
    <col min="1" max="1" width="11.88671875" style="573" bestFit="1" customWidth="1"/>
    <col min="2" max="2" width="86.88671875" style="534" customWidth="1"/>
    <col min="3" max="3" width="25.6640625" style="534" customWidth="1"/>
    <col min="4" max="4" width="22.5546875" style="534" customWidth="1"/>
    <col min="5" max="5" width="20.109375" style="534" customWidth="1"/>
    <col min="6" max="6" width="16" style="534" customWidth="1"/>
    <col min="7" max="7" width="20" style="534" customWidth="1"/>
    <col min="8" max="8" width="20.5546875" style="534" customWidth="1"/>
    <col min="9" max="16384" width="9.109375" style="534"/>
  </cols>
  <sheetData>
    <row r="1" spans="1:8" ht="13.8" x14ac:dyDescent="0.3">
      <c r="A1" s="533" t="s">
        <v>41</v>
      </c>
      <c r="B1" s="22" t="str">
        <f>Info!C2</f>
        <v>სს სილქ ბანკი</v>
      </c>
      <c r="C1" s="552"/>
      <c r="D1" s="552"/>
      <c r="E1" s="552"/>
      <c r="F1" s="552"/>
      <c r="G1" s="552"/>
      <c r="H1" s="552"/>
    </row>
    <row r="2" spans="1:8" x14ac:dyDescent="0.25">
      <c r="A2" s="533" t="s">
        <v>42</v>
      </c>
      <c r="B2" s="535">
        <f>'1. key ratios'!B2</f>
        <v>45747</v>
      </c>
      <c r="C2" s="552"/>
      <c r="D2" s="552"/>
      <c r="E2" s="552"/>
      <c r="F2" s="552"/>
      <c r="G2" s="552"/>
      <c r="H2" s="552"/>
    </row>
    <row r="3" spans="1:8" x14ac:dyDescent="0.25">
      <c r="A3" s="536" t="s">
        <v>599</v>
      </c>
      <c r="B3" s="552"/>
      <c r="C3" s="552"/>
      <c r="D3" s="552"/>
      <c r="E3" s="552"/>
      <c r="F3" s="552"/>
      <c r="G3" s="552"/>
      <c r="H3" s="552"/>
    </row>
    <row r="4" spans="1:8" ht="40.5" customHeight="1" x14ac:dyDescent="0.25">
      <c r="A4" s="553"/>
      <c r="B4" s="552"/>
      <c r="C4" s="554" t="s">
        <v>600</v>
      </c>
      <c r="D4" s="554" t="s">
        <v>601</v>
      </c>
      <c r="E4" s="554" t="s">
        <v>602</v>
      </c>
      <c r="F4" s="554" t="s">
        <v>603</v>
      </c>
      <c r="G4" s="554" t="s">
        <v>604</v>
      </c>
      <c r="H4" s="554" t="s">
        <v>605</v>
      </c>
    </row>
    <row r="5" spans="1:8" ht="33.9" customHeight="1" x14ac:dyDescent="0.25">
      <c r="A5" s="881" t="s">
        <v>606</v>
      </c>
      <c r="B5" s="882"/>
      <c r="C5" s="893" t="s">
        <v>607</v>
      </c>
      <c r="D5" s="893"/>
      <c r="E5" s="893" t="s">
        <v>608</v>
      </c>
      <c r="F5" s="894" t="s">
        <v>609</v>
      </c>
      <c r="G5" s="894" t="s">
        <v>610</v>
      </c>
      <c r="H5" s="555" t="s">
        <v>611</v>
      </c>
    </row>
    <row r="6" spans="1:8" ht="36" x14ac:dyDescent="0.25">
      <c r="A6" s="885"/>
      <c r="B6" s="886"/>
      <c r="C6" s="556" t="s">
        <v>612</v>
      </c>
      <c r="D6" s="556" t="s">
        <v>613</v>
      </c>
      <c r="E6" s="893"/>
      <c r="F6" s="895"/>
      <c r="G6" s="895"/>
      <c r="H6" s="555" t="s">
        <v>614</v>
      </c>
    </row>
    <row r="7" spans="1:8" x14ac:dyDescent="0.25">
      <c r="A7" s="558">
        <v>1</v>
      </c>
      <c r="B7" s="539" t="s">
        <v>434</v>
      </c>
      <c r="C7" s="559"/>
      <c r="D7" s="560">
        <v>28176131.780000031</v>
      </c>
      <c r="E7" s="560">
        <v>55072.00858945302</v>
      </c>
      <c r="F7" s="559"/>
      <c r="G7" s="559"/>
      <c r="H7" s="819">
        <f t="shared" ref="H7:H20" si="0">C7+D7-E7-F7</f>
        <v>28121059.771410577</v>
      </c>
    </row>
    <row r="8" spans="1:8" ht="24" x14ac:dyDescent="0.25">
      <c r="A8" s="558">
        <v>2</v>
      </c>
      <c r="B8" s="539" t="s">
        <v>435</v>
      </c>
      <c r="C8" s="559"/>
      <c r="D8" s="559">
        <v>0</v>
      </c>
      <c r="E8" s="559"/>
      <c r="F8" s="559"/>
      <c r="G8" s="559"/>
      <c r="H8" s="819">
        <f t="shared" si="0"/>
        <v>0</v>
      </c>
    </row>
    <row r="9" spans="1:8" x14ac:dyDescent="0.25">
      <c r="A9" s="558">
        <v>3</v>
      </c>
      <c r="B9" s="539" t="s">
        <v>436</v>
      </c>
      <c r="C9" s="559"/>
      <c r="D9" s="559">
        <v>0</v>
      </c>
      <c r="E9" s="559"/>
      <c r="F9" s="559"/>
      <c r="G9" s="559"/>
      <c r="H9" s="819">
        <f t="shared" si="0"/>
        <v>0</v>
      </c>
    </row>
    <row r="10" spans="1:8" x14ac:dyDescent="0.25">
      <c r="A10" s="558">
        <v>4</v>
      </c>
      <c r="B10" s="539" t="s">
        <v>437</v>
      </c>
      <c r="C10" s="559"/>
      <c r="D10" s="559">
        <v>0</v>
      </c>
      <c r="E10" s="559"/>
      <c r="F10" s="559"/>
      <c r="G10" s="559"/>
      <c r="H10" s="819">
        <f t="shared" si="0"/>
        <v>0</v>
      </c>
    </row>
    <row r="11" spans="1:8" x14ac:dyDescent="0.25">
      <c r="A11" s="558">
        <v>5</v>
      </c>
      <c r="B11" s="539" t="s">
        <v>438</v>
      </c>
      <c r="C11" s="559"/>
      <c r="D11" s="559">
        <v>0</v>
      </c>
      <c r="E11" s="559"/>
      <c r="F11" s="559"/>
      <c r="G11" s="559"/>
      <c r="H11" s="819">
        <f t="shared" si="0"/>
        <v>0</v>
      </c>
    </row>
    <row r="12" spans="1:8" x14ac:dyDescent="0.25">
      <c r="A12" s="558">
        <v>6</v>
      </c>
      <c r="B12" s="539" t="s">
        <v>439</v>
      </c>
      <c r="C12" s="563"/>
      <c r="D12" s="563">
        <v>22197608.489999995</v>
      </c>
      <c r="E12" s="563"/>
      <c r="F12" s="559"/>
      <c r="G12" s="559"/>
      <c r="H12" s="819">
        <f t="shared" si="0"/>
        <v>22197608.489999995</v>
      </c>
    </row>
    <row r="13" spans="1:8" x14ac:dyDescent="0.25">
      <c r="A13" s="558">
        <v>7</v>
      </c>
      <c r="B13" s="539" t="s">
        <v>440</v>
      </c>
      <c r="C13" s="563">
        <v>929288.20970333263</v>
      </c>
      <c r="D13" s="565">
        <v>81479169.689353108</v>
      </c>
      <c r="E13" s="563">
        <v>1235410.0374667968</v>
      </c>
      <c r="F13" s="559"/>
      <c r="G13" s="559"/>
      <c r="H13" s="819">
        <f t="shared" si="0"/>
        <v>81173047.86158964</v>
      </c>
    </row>
    <row r="14" spans="1:8" x14ac:dyDescent="0.25">
      <c r="A14" s="558">
        <v>8</v>
      </c>
      <c r="B14" s="545" t="s">
        <v>441</v>
      </c>
      <c r="C14" s="563">
        <v>803021.15644970618</v>
      </c>
      <c r="D14" s="563">
        <v>49373109.291198529</v>
      </c>
      <c r="E14" s="563">
        <v>1713687.4277113741</v>
      </c>
      <c r="F14" s="559"/>
      <c r="G14" s="560">
        <v>1.5</v>
      </c>
      <c r="H14" s="819">
        <f t="shared" si="0"/>
        <v>48462443.01993686</v>
      </c>
    </row>
    <row r="15" spans="1:8" x14ac:dyDescent="0.25">
      <c r="A15" s="558">
        <v>9</v>
      </c>
      <c r="B15" s="539" t="s">
        <v>442</v>
      </c>
      <c r="C15" s="563"/>
      <c r="D15" s="563">
        <v>0</v>
      </c>
      <c r="E15" s="563"/>
      <c r="F15" s="559"/>
      <c r="G15" s="559"/>
      <c r="H15" s="819">
        <f t="shared" si="0"/>
        <v>0</v>
      </c>
    </row>
    <row r="16" spans="1:8" x14ac:dyDescent="0.25">
      <c r="A16" s="558">
        <v>10</v>
      </c>
      <c r="B16" s="547" t="s">
        <v>443</v>
      </c>
      <c r="C16" s="563">
        <v>1540457.6354488134</v>
      </c>
      <c r="D16" s="563">
        <v>0</v>
      </c>
      <c r="E16" s="563">
        <v>859616.35615744663</v>
      </c>
      <c r="F16" s="559"/>
      <c r="G16" s="559"/>
      <c r="H16" s="819">
        <f t="shared" si="0"/>
        <v>680841.27929136681</v>
      </c>
    </row>
    <row r="17" spans="1:8" x14ac:dyDescent="0.25">
      <c r="A17" s="558">
        <v>11</v>
      </c>
      <c r="B17" s="539" t="s">
        <v>444</v>
      </c>
      <c r="C17" s="563">
        <v>0</v>
      </c>
      <c r="D17" s="563">
        <v>0</v>
      </c>
      <c r="E17" s="563">
        <v>0</v>
      </c>
      <c r="F17" s="559"/>
      <c r="G17" s="559"/>
      <c r="H17" s="819">
        <f t="shared" si="0"/>
        <v>0</v>
      </c>
    </row>
    <row r="18" spans="1:8" x14ac:dyDescent="0.25">
      <c r="A18" s="558">
        <v>12</v>
      </c>
      <c r="B18" s="539" t="s">
        <v>445</v>
      </c>
      <c r="C18" s="563"/>
      <c r="D18" s="563">
        <v>0</v>
      </c>
      <c r="E18" s="563"/>
      <c r="F18" s="559"/>
      <c r="G18" s="559"/>
      <c r="H18" s="819">
        <f t="shared" si="0"/>
        <v>0</v>
      </c>
    </row>
    <row r="19" spans="1:8" x14ac:dyDescent="0.25">
      <c r="A19" s="564">
        <v>13</v>
      </c>
      <c r="B19" s="545" t="s">
        <v>446</v>
      </c>
      <c r="C19" s="563"/>
      <c r="D19" s="563">
        <v>0</v>
      </c>
      <c r="E19" s="563"/>
      <c r="F19" s="559"/>
      <c r="G19" s="559"/>
      <c r="H19" s="819">
        <f t="shared" si="0"/>
        <v>0</v>
      </c>
    </row>
    <row r="20" spans="1:8" x14ac:dyDescent="0.25">
      <c r="A20" s="558">
        <v>14</v>
      </c>
      <c r="B20" s="539" t="s">
        <v>447</v>
      </c>
      <c r="C20" s="563">
        <v>0</v>
      </c>
      <c r="D20" s="565">
        <v>29329125.089628495</v>
      </c>
      <c r="E20" s="563">
        <v>0</v>
      </c>
      <c r="F20" s="559"/>
      <c r="G20" s="559"/>
      <c r="H20" s="819">
        <f t="shared" si="0"/>
        <v>29329125.089628495</v>
      </c>
    </row>
    <row r="21" spans="1:8" s="569" customFormat="1" x14ac:dyDescent="0.25">
      <c r="A21" s="566">
        <v>15</v>
      </c>
      <c r="B21" s="567" t="s">
        <v>88</v>
      </c>
      <c r="C21" s="568">
        <f t="shared" ref="C21:H21" si="1">SUM(C7:C15)+SUM(C17:C20)</f>
        <v>1732309.3661530388</v>
      </c>
      <c r="D21" s="568">
        <f t="shared" si="1"/>
        <v>210555144.34018016</v>
      </c>
      <c r="E21" s="568">
        <f t="shared" si="1"/>
        <v>3004169.4737676242</v>
      </c>
      <c r="F21" s="581">
        <f t="shared" si="1"/>
        <v>0</v>
      </c>
      <c r="G21" s="581">
        <f t="shared" si="1"/>
        <v>1.5</v>
      </c>
      <c r="H21" s="819">
        <f t="shared" si="1"/>
        <v>209283284.23256555</v>
      </c>
    </row>
    <row r="22" spans="1:8" x14ac:dyDescent="0.25">
      <c r="A22" s="570">
        <v>16</v>
      </c>
      <c r="B22" s="571" t="s">
        <v>615</v>
      </c>
      <c r="C22" s="563">
        <f>C13+C14+C17</f>
        <v>1732309.3661530388</v>
      </c>
      <c r="D22" s="563">
        <f>D13+D14+D17</f>
        <v>130852278.98055163</v>
      </c>
      <c r="E22" s="563">
        <f>E13+E14+E17</f>
        <v>2949097.4651781712</v>
      </c>
      <c r="F22" s="563">
        <f>F13+F14+F17</f>
        <v>0</v>
      </c>
      <c r="G22" s="565">
        <f>G13+G14+G17</f>
        <v>1.5</v>
      </c>
      <c r="H22" s="819">
        <f>C22+D22-E22-F22</f>
        <v>129635490.88152649</v>
      </c>
    </row>
    <row r="23" spans="1:8" x14ac:dyDescent="0.25">
      <c r="A23" s="570">
        <v>17</v>
      </c>
      <c r="B23" s="572" t="s">
        <v>616</v>
      </c>
      <c r="C23" s="563"/>
      <c r="D23" s="565">
        <v>24356220.339999996</v>
      </c>
      <c r="E23" s="565">
        <v>55072.00858945302</v>
      </c>
      <c r="F23" s="559"/>
      <c r="G23" s="559"/>
      <c r="H23" s="819">
        <f>C23+D23-E23-F23</f>
        <v>24301148.331410542</v>
      </c>
    </row>
    <row r="24" spans="1:8" x14ac:dyDescent="0.25">
      <c r="D24" s="543"/>
      <c r="H24" s="748"/>
    </row>
  </sheetData>
  <mergeCells count="5">
    <mergeCell ref="A5:B6"/>
    <mergeCell ref="C5:D5"/>
    <mergeCell ref="E5:E6"/>
    <mergeCell ref="F5:F6"/>
    <mergeCell ref="G5:G6"/>
  </mergeCells>
  <conditionalFormatting sqref="A5">
    <cfRule type="duplicateValues" dxfId="24" priority="1"/>
    <cfRule type="duplicateValues" dxfId="23" priority="2"/>
    <cfRule type="duplicateValues" dxfId="2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8586-6F00-4A6A-9770-42165DDABDA2}">
  <dimension ref="A1:O34"/>
  <sheetViews>
    <sheetView showGridLines="0" topLeftCell="C6" zoomScaleNormal="100" workbookViewId="0">
      <selection activeCell="M39" sqref="M39"/>
    </sheetView>
  </sheetViews>
  <sheetFormatPr defaultColWidth="9.109375" defaultRowHeight="12" x14ac:dyDescent="0.25"/>
  <cols>
    <col min="1" max="1" width="11" style="534" bestFit="1" customWidth="1"/>
    <col min="2" max="2" width="93.44140625" style="534" customWidth="1"/>
    <col min="3" max="5" width="22" style="534" customWidth="1"/>
    <col min="6" max="6" width="21.33203125" style="534" customWidth="1"/>
    <col min="7" max="7" width="26.88671875" style="534" customWidth="1"/>
    <col min="8" max="8" width="21.88671875" style="534" customWidth="1"/>
    <col min="9" max="11" width="0" style="534" hidden="1" customWidth="1"/>
    <col min="12" max="12" width="26.6640625" style="534" customWidth="1"/>
    <col min="13" max="16384" width="9.109375" style="534"/>
  </cols>
  <sheetData>
    <row r="1" spans="1:15" ht="13.8" x14ac:dyDescent="0.3">
      <c r="A1" s="533" t="s">
        <v>41</v>
      </c>
      <c r="B1" s="22" t="str">
        <f>Info!C2</f>
        <v>სს სილქ ბანკი</v>
      </c>
      <c r="C1" s="552"/>
      <c r="D1" s="552"/>
      <c r="E1" s="552"/>
      <c r="F1" s="552"/>
      <c r="G1" s="552"/>
      <c r="H1" s="552"/>
    </row>
    <row r="2" spans="1:15" x14ac:dyDescent="0.25">
      <c r="A2" s="533" t="s">
        <v>42</v>
      </c>
      <c r="B2" s="535">
        <f>'1. key ratios'!B2</f>
        <v>45747</v>
      </c>
      <c r="C2" s="552"/>
      <c r="D2" s="552"/>
      <c r="E2" s="552"/>
      <c r="F2" s="552"/>
      <c r="G2" s="552"/>
      <c r="H2" s="552"/>
    </row>
    <row r="3" spans="1:15" x14ac:dyDescent="0.25">
      <c r="A3" s="536" t="s">
        <v>617</v>
      </c>
      <c r="B3" s="552"/>
      <c r="C3" s="552"/>
      <c r="D3" s="552"/>
      <c r="E3" s="552"/>
      <c r="F3" s="552"/>
      <c r="G3" s="552"/>
      <c r="H3" s="552"/>
    </row>
    <row r="4" spans="1:15" ht="40.5" customHeight="1" x14ac:dyDescent="0.25">
      <c r="A4" s="552"/>
      <c r="B4" s="552"/>
      <c r="C4" s="554" t="s">
        <v>600</v>
      </c>
      <c r="D4" s="554" t="s">
        <v>601</v>
      </c>
      <c r="E4" s="554" t="s">
        <v>602</v>
      </c>
      <c r="F4" s="554" t="s">
        <v>603</v>
      </c>
      <c r="G4" s="554" t="s">
        <v>604</v>
      </c>
      <c r="H4" s="554" t="s">
        <v>605</v>
      </c>
    </row>
    <row r="5" spans="1:15" ht="41.4" customHeight="1" x14ac:dyDescent="0.25">
      <c r="A5" s="881" t="s">
        <v>618</v>
      </c>
      <c r="B5" s="882"/>
      <c r="C5" s="896" t="s">
        <v>607</v>
      </c>
      <c r="D5" s="897"/>
      <c r="E5" s="894" t="s">
        <v>619</v>
      </c>
      <c r="F5" s="894" t="s">
        <v>609</v>
      </c>
      <c r="G5" s="894" t="s">
        <v>610</v>
      </c>
      <c r="H5" s="555" t="s">
        <v>611</v>
      </c>
    </row>
    <row r="6" spans="1:15" ht="36" x14ac:dyDescent="0.3">
      <c r="A6" s="885"/>
      <c r="B6" s="886"/>
      <c r="C6" s="556" t="s">
        <v>612</v>
      </c>
      <c r="D6" s="556" t="s">
        <v>613</v>
      </c>
      <c r="E6" s="895"/>
      <c r="F6" s="895"/>
      <c r="G6" s="895"/>
      <c r="H6" s="555" t="s">
        <v>614</v>
      </c>
      <c r="I6" s="576"/>
      <c r="L6" s="577"/>
      <c r="M6"/>
    </row>
    <row r="7" spans="1:15" ht="14.4" x14ac:dyDescent="0.3">
      <c r="A7" s="561">
        <v>1</v>
      </c>
      <c r="B7" s="578" t="s">
        <v>620</v>
      </c>
      <c r="C7" s="559">
        <v>4431.1704514363882</v>
      </c>
      <c r="D7" s="559">
        <v>31825152.812151276</v>
      </c>
      <c r="E7" s="559">
        <v>150208.38410289469</v>
      </c>
      <c r="F7" s="559"/>
      <c r="G7" s="560"/>
      <c r="H7" s="562">
        <f t="shared" ref="H7:H34" si="0">C7+D7-E7-F7</f>
        <v>31679375.598499816</v>
      </c>
      <c r="I7" s="543"/>
      <c r="L7" s="577"/>
      <c r="M7"/>
      <c r="O7" s="543"/>
    </row>
    <row r="8" spans="1:15" ht="14.4" x14ac:dyDescent="0.3">
      <c r="A8" s="561">
        <v>2</v>
      </c>
      <c r="B8" s="578" t="s">
        <v>621</v>
      </c>
      <c r="C8" s="559">
        <v>0</v>
      </c>
      <c r="D8" s="559">
        <v>28542904.696288772</v>
      </c>
      <c r="E8" s="559">
        <v>75658.505189272051</v>
      </c>
      <c r="F8" s="559"/>
      <c r="G8" s="560"/>
      <c r="H8" s="562">
        <f t="shared" si="0"/>
        <v>28467246.191099498</v>
      </c>
      <c r="I8" s="543"/>
      <c r="L8" s="577"/>
      <c r="M8"/>
      <c r="O8" s="543"/>
    </row>
    <row r="9" spans="1:15" ht="14.4" x14ac:dyDescent="0.3">
      <c r="A9" s="561">
        <v>3</v>
      </c>
      <c r="B9" s="578" t="s">
        <v>622</v>
      </c>
      <c r="C9" s="559">
        <v>0</v>
      </c>
      <c r="D9" s="559">
        <v>15999.218055919071</v>
      </c>
      <c r="E9" s="559">
        <v>156.66303705722973</v>
      </c>
      <c r="F9" s="559"/>
      <c r="G9" s="560"/>
      <c r="H9" s="562">
        <f t="shared" si="0"/>
        <v>15842.555018861842</v>
      </c>
      <c r="I9" s="543"/>
      <c r="J9" s="551" t="s">
        <v>623</v>
      </c>
      <c r="L9" s="577"/>
      <c r="M9"/>
      <c r="O9" s="543"/>
    </row>
    <row r="10" spans="1:15" ht="14.4" x14ac:dyDescent="0.3">
      <c r="A10" s="561">
        <v>4</v>
      </c>
      <c r="B10" s="578" t="s">
        <v>624</v>
      </c>
      <c r="C10" s="559">
        <v>0</v>
      </c>
      <c r="D10" s="559">
        <v>14082287.588295726</v>
      </c>
      <c r="E10" s="559">
        <v>69626.284685356062</v>
      </c>
      <c r="F10" s="559"/>
      <c r="G10" s="560"/>
      <c r="H10" s="562">
        <f t="shared" si="0"/>
        <v>14012661.30361037</v>
      </c>
      <c r="I10" s="543"/>
      <c r="J10" s="579" t="s">
        <v>625</v>
      </c>
      <c r="L10" s="577"/>
      <c r="M10"/>
      <c r="O10" s="543"/>
    </row>
    <row r="11" spans="1:15" ht="14.4" x14ac:dyDescent="0.3">
      <c r="A11" s="561">
        <v>5</v>
      </c>
      <c r="B11" s="578" t="s">
        <v>626</v>
      </c>
      <c r="C11" s="559">
        <v>935387.33466641617</v>
      </c>
      <c r="D11" s="559">
        <v>10925399.770101666</v>
      </c>
      <c r="E11" s="559">
        <v>649369.44049251988</v>
      </c>
      <c r="F11" s="559"/>
      <c r="G11" s="560"/>
      <c r="H11" s="562">
        <f t="shared" si="0"/>
        <v>11211417.664275562</v>
      </c>
      <c r="I11" s="543"/>
      <c r="L11" s="577"/>
      <c r="M11"/>
      <c r="O11" s="543"/>
    </row>
    <row r="12" spans="1:15" ht="13.8" x14ac:dyDescent="0.3">
      <c r="A12" s="561">
        <v>6</v>
      </c>
      <c r="B12" s="578" t="s">
        <v>627</v>
      </c>
      <c r="C12" s="559">
        <v>71857.851718372694</v>
      </c>
      <c r="D12" s="559">
        <v>11879441.2566981</v>
      </c>
      <c r="E12" s="559">
        <v>307909.51587341214</v>
      </c>
      <c r="F12" s="559"/>
      <c r="G12" s="560"/>
      <c r="H12" s="562">
        <f t="shared" si="0"/>
        <v>11643389.592543062</v>
      </c>
      <c r="I12" s="543"/>
      <c r="J12" s="579" t="s">
        <v>628</v>
      </c>
      <c r="O12" s="543"/>
    </row>
    <row r="13" spans="1:15" x14ac:dyDescent="0.25">
      <c r="A13" s="561">
        <v>7</v>
      </c>
      <c r="B13" s="578" t="s">
        <v>629</v>
      </c>
      <c r="C13" s="559">
        <v>0</v>
      </c>
      <c r="D13" s="559">
        <v>15097971.43995735</v>
      </c>
      <c r="E13" s="559">
        <v>48925.749548719643</v>
      </c>
      <c r="F13" s="559"/>
      <c r="G13" s="560"/>
      <c r="H13" s="562">
        <f t="shared" si="0"/>
        <v>15049045.69040863</v>
      </c>
      <c r="I13" s="543"/>
      <c r="O13" s="543"/>
    </row>
    <row r="14" spans="1:15" x14ac:dyDescent="0.25">
      <c r="A14" s="561">
        <v>8</v>
      </c>
      <c r="B14" s="578" t="s">
        <v>630</v>
      </c>
      <c r="C14" s="559">
        <v>7129.1014031485283</v>
      </c>
      <c r="D14" s="559">
        <v>1386067.9723366022</v>
      </c>
      <c r="E14" s="559">
        <v>30631.052452911474</v>
      </c>
      <c r="F14" s="559"/>
      <c r="G14" s="560"/>
      <c r="H14" s="562">
        <f t="shared" si="0"/>
        <v>1362566.0212868394</v>
      </c>
      <c r="I14" s="543"/>
      <c r="O14" s="543"/>
    </row>
    <row r="15" spans="1:15" x14ac:dyDescent="0.25">
      <c r="A15" s="561">
        <v>9</v>
      </c>
      <c r="B15" s="578" t="s">
        <v>631</v>
      </c>
      <c r="C15" s="559">
        <v>0</v>
      </c>
      <c r="D15" s="559">
        <v>811667.33382364595</v>
      </c>
      <c r="E15" s="559">
        <v>13176.177060348489</v>
      </c>
      <c r="F15" s="559"/>
      <c r="G15" s="560"/>
      <c r="H15" s="562">
        <f t="shared" si="0"/>
        <v>798491.15676329751</v>
      </c>
      <c r="I15" s="543"/>
      <c r="O15" s="543"/>
    </row>
    <row r="16" spans="1:15" x14ac:dyDescent="0.25">
      <c r="A16" s="561">
        <v>10</v>
      </c>
      <c r="B16" s="578" t="s">
        <v>632</v>
      </c>
      <c r="C16" s="559">
        <v>0</v>
      </c>
      <c r="D16" s="559">
        <v>1356688.7620936141</v>
      </c>
      <c r="E16" s="559">
        <v>19672.414156624538</v>
      </c>
      <c r="F16" s="559"/>
      <c r="G16" s="560"/>
      <c r="H16" s="562">
        <f t="shared" si="0"/>
        <v>1337016.3479369895</v>
      </c>
      <c r="I16" s="543"/>
      <c r="O16" s="543"/>
    </row>
    <row r="17" spans="1:15" x14ac:dyDescent="0.25">
      <c r="A17" s="561">
        <v>11</v>
      </c>
      <c r="B17" s="578" t="s">
        <v>633</v>
      </c>
      <c r="C17" s="559">
        <v>1379.0154098360656</v>
      </c>
      <c r="D17" s="559">
        <v>959081.15885096497</v>
      </c>
      <c r="E17" s="559">
        <v>8280.9268473185366</v>
      </c>
      <c r="F17" s="559"/>
      <c r="G17" s="560"/>
      <c r="H17" s="562">
        <f t="shared" si="0"/>
        <v>952179.24741348252</v>
      </c>
      <c r="I17" s="543"/>
      <c r="O17" s="543"/>
    </row>
    <row r="18" spans="1:15" x14ac:dyDescent="0.25">
      <c r="A18" s="561">
        <v>12</v>
      </c>
      <c r="B18" s="578" t="s">
        <v>634</v>
      </c>
      <c r="C18" s="559">
        <v>28158.498061359795</v>
      </c>
      <c r="D18" s="559">
        <v>7746919.7666438622</v>
      </c>
      <c r="E18" s="559">
        <v>89983.203580565285</v>
      </c>
      <c r="F18" s="559"/>
      <c r="G18" s="560"/>
      <c r="H18" s="562">
        <f t="shared" si="0"/>
        <v>7685095.0611246563</v>
      </c>
      <c r="I18" s="543"/>
      <c r="O18" s="543"/>
    </row>
    <row r="19" spans="1:15" x14ac:dyDescent="0.25">
      <c r="A19" s="561">
        <v>13</v>
      </c>
      <c r="B19" s="578" t="s">
        <v>635</v>
      </c>
      <c r="C19" s="559">
        <v>13145.695124487553</v>
      </c>
      <c r="D19" s="559">
        <v>1128146.3471727394</v>
      </c>
      <c r="E19" s="559">
        <v>15898.335509098499</v>
      </c>
      <c r="F19" s="559"/>
      <c r="G19" s="560"/>
      <c r="H19" s="562">
        <f t="shared" si="0"/>
        <v>1125393.7067881285</v>
      </c>
      <c r="I19" s="543"/>
      <c r="O19" s="543"/>
    </row>
    <row r="20" spans="1:15" x14ac:dyDescent="0.25">
      <c r="A20" s="561">
        <v>14</v>
      </c>
      <c r="B20" s="578" t="s">
        <v>636</v>
      </c>
      <c r="C20" s="559">
        <v>23593.147783857734</v>
      </c>
      <c r="D20" s="559">
        <v>4691769.2372854259</v>
      </c>
      <c r="E20" s="559">
        <v>73520.934672280098</v>
      </c>
      <c r="F20" s="559"/>
      <c r="G20" s="560"/>
      <c r="H20" s="562">
        <f t="shared" si="0"/>
        <v>4641841.4503970034</v>
      </c>
      <c r="I20" s="543"/>
      <c r="O20" s="543"/>
    </row>
    <row r="21" spans="1:15" x14ac:dyDescent="0.25">
      <c r="A21" s="561">
        <v>15</v>
      </c>
      <c r="B21" s="578" t="s">
        <v>637</v>
      </c>
      <c r="C21" s="559">
        <v>19847.557209864513</v>
      </c>
      <c r="D21" s="559">
        <v>4773928.0902483026</v>
      </c>
      <c r="E21" s="559">
        <v>77302.348522937493</v>
      </c>
      <c r="F21" s="559"/>
      <c r="G21" s="560"/>
      <c r="H21" s="562">
        <f t="shared" si="0"/>
        <v>4716473.298935229</v>
      </c>
      <c r="I21" s="543"/>
      <c r="O21" s="543"/>
    </row>
    <row r="22" spans="1:15" x14ac:dyDescent="0.25">
      <c r="A22" s="561">
        <v>16</v>
      </c>
      <c r="B22" s="571" t="s">
        <v>638</v>
      </c>
      <c r="C22" s="559">
        <v>0</v>
      </c>
      <c r="D22" s="559">
        <v>2012119.7488221652</v>
      </c>
      <c r="E22" s="559">
        <v>32229.889396536746</v>
      </c>
      <c r="F22" s="559"/>
      <c r="G22" s="560"/>
      <c r="H22" s="562">
        <f t="shared" si="0"/>
        <v>1979889.8594256286</v>
      </c>
      <c r="I22" s="543"/>
      <c r="O22" s="543"/>
    </row>
    <row r="23" spans="1:15" ht="13.8" x14ac:dyDescent="0.3">
      <c r="A23" s="561">
        <v>17</v>
      </c>
      <c r="B23" s="578" t="s">
        <v>639</v>
      </c>
      <c r="C23" s="559">
        <v>8873.3011011575691</v>
      </c>
      <c r="D23" s="559">
        <v>110681.98299946163</v>
      </c>
      <c r="E23" s="559">
        <v>8051.4560552588482</v>
      </c>
      <c r="F23" s="559"/>
      <c r="G23" s="560"/>
      <c r="H23" s="562">
        <f t="shared" si="0"/>
        <v>111503.82804536035</v>
      </c>
      <c r="I23" s="543"/>
      <c r="J23" s="579" t="s">
        <v>640</v>
      </c>
      <c r="O23" s="543"/>
    </row>
    <row r="24" spans="1:15" x14ac:dyDescent="0.25">
      <c r="A24" s="561">
        <v>18</v>
      </c>
      <c r="B24" s="578" t="s">
        <v>641</v>
      </c>
      <c r="C24" s="559">
        <v>0</v>
      </c>
      <c r="D24" s="559">
        <v>2009357.0581856044</v>
      </c>
      <c r="E24" s="559">
        <v>10908.566204849745</v>
      </c>
      <c r="F24" s="559"/>
      <c r="G24" s="560"/>
      <c r="H24" s="562">
        <f t="shared" si="0"/>
        <v>1998448.4919807548</v>
      </c>
      <c r="I24" s="543"/>
      <c r="O24" s="543"/>
    </row>
    <row r="25" spans="1:15" x14ac:dyDescent="0.25">
      <c r="A25" s="561">
        <v>19</v>
      </c>
      <c r="B25" s="578" t="s">
        <v>642</v>
      </c>
      <c r="C25" s="559">
        <v>10019.25</v>
      </c>
      <c r="D25" s="559">
        <v>317403.35964493087</v>
      </c>
      <c r="E25" s="559">
        <v>15912.086353840259</v>
      </c>
      <c r="F25" s="559"/>
      <c r="G25" s="560"/>
      <c r="H25" s="562">
        <f t="shared" si="0"/>
        <v>311510.52329109062</v>
      </c>
      <c r="I25" s="543"/>
      <c r="O25" s="543"/>
    </row>
    <row r="26" spans="1:15" x14ac:dyDescent="0.25">
      <c r="A26" s="561">
        <v>20</v>
      </c>
      <c r="B26" s="578" t="s">
        <v>643</v>
      </c>
      <c r="C26" s="559">
        <v>15387.328658453112</v>
      </c>
      <c r="D26" s="559">
        <v>1359750.1103781136</v>
      </c>
      <c r="E26" s="559">
        <v>38423.677046379213</v>
      </c>
      <c r="F26" s="559"/>
      <c r="G26" s="560"/>
      <c r="H26" s="562">
        <f t="shared" si="0"/>
        <v>1336713.7619901875</v>
      </c>
      <c r="I26" s="543"/>
      <c r="O26" s="543"/>
    </row>
    <row r="27" spans="1:15" x14ac:dyDescent="0.25">
      <c r="A27" s="561">
        <v>21</v>
      </c>
      <c r="B27" s="578" t="s">
        <v>644</v>
      </c>
      <c r="C27" s="559">
        <v>41.42</v>
      </c>
      <c r="D27" s="559">
        <v>276341.7115634309</v>
      </c>
      <c r="E27" s="559">
        <v>6749.6732264444718</v>
      </c>
      <c r="F27" s="559"/>
      <c r="G27" s="560"/>
      <c r="H27" s="562">
        <f t="shared" si="0"/>
        <v>269633.45833698643</v>
      </c>
      <c r="I27" s="543"/>
      <c r="O27" s="543"/>
    </row>
    <row r="28" spans="1:15" x14ac:dyDescent="0.25">
      <c r="A28" s="561">
        <v>22</v>
      </c>
      <c r="B28" s="578" t="s">
        <v>645</v>
      </c>
      <c r="C28" s="559">
        <v>40561.042175102601</v>
      </c>
      <c r="D28" s="559">
        <v>2354078.1480708169</v>
      </c>
      <c r="E28" s="559">
        <v>75434.415402038634</v>
      </c>
      <c r="F28" s="559"/>
      <c r="G28" s="560"/>
      <c r="H28" s="562">
        <f t="shared" si="0"/>
        <v>2319204.7748438809</v>
      </c>
      <c r="I28" s="543"/>
      <c r="O28" s="543"/>
    </row>
    <row r="29" spans="1:15" x14ac:dyDescent="0.25">
      <c r="A29" s="561">
        <v>23</v>
      </c>
      <c r="B29" s="578" t="s">
        <v>646</v>
      </c>
      <c r="C29" s="559">
        <v>311293.53664826066</v>
      </c>
      <c r="D29" s="559">
        <v>21568821.010820922</v>
      </c>
      <c r="E29" s="559">
        <v>793729.39943968609</v>
      </c>
      <c r="F29" s="559"/>
      <c r="G29" s="560">
        <v>1.5</v>
      </c>
      <c r="H29" s="562">
        <f t="shared" si="0"/>
        <v>21086385.148029499</v>
      </c>
      <c r="I29" s="543"/>
      <c r="O29" s="543"/>
    </row>
    <row r="30" spans="1:15" x14ac:dyDescent="0.25">
      <c r="A30" s="561">
        <v>24</v>
      </c>
      <c r="B30" s="578" t="s">
        <v>647</v>
      </c>
      <c r="C30" s="559">
        <v>151311.10131313131</v>
      </c>
      <c r="D30" s="559">
        <v>3602210.8750902885</v>
      </c>
      <c r="E30" s="559">
        <v>131733.00505533986</v>
      </c>
      <c r="F30" s="559"/>
      <c r="G30" s="560"/>
      <c r="H30" s="562">
        <f t="shared" si="0"/>
        <v>3621788.9713480799</v>
      </c>
      <c r="I30" s="543"/>
      <c r="O30" s="543"/>
    </row>
    <row r="31" spans="1:15" ht="13.8" x14ac:dyDescent="0.3">
      <c r="A31" s="561">
        <v>25</v>
      </c>
      <c r="B31" s="578" t="s">
        <v>209</v>
      </c>
      <c r="C31" s="559">
        <v>89893.478164418193</v>
      </c>
      <c r="D31" s="560">
        <v>12391829.794971773</v>
      </c>
      <c r="E31" s="559">
        <v>260677.36985593507</v>
      </c>
      <c r="F31" s="559"/>
      <c r="G31" s="560"/>
      <c r="H31" s="562">
        <f t="shared" si="0"/>
        <v>12221045.903280256</v>
      </c>
      <c r="I31" s="543"/>
      <c r="J31" s="580" t="s">
        <v>648</v>
      </c>
      <c r="O31" s="543"/>
    </row>
    <row r="32" spans="1:15" x14ac:dyDescent="0.25">
      <c r="A32" s="561">
        <v>26</v>
      </c>
      <c r="B32" s="578" t="s">
        <v>649</v>
      </c>
      <c r="C32" s="559">
        <v>0</v>
      </c>
      <c r="D32" s="559">
        <v>0</v>
      </c>
      <c r="E32" s="559">
        <v>0</v>
      </c>
      <c r="F32" s="559"/>
      <c r="G32" s="560"/>
      <c r="H32" s="562">
        <f t="shared" si="0"/>
        <v>0</v>
      </c>
      <c r="I32" s="543"/>
      <c r="O32" s="543"/>
    </row>
    <row r="33" spans="1:15" x14ac:dyDescent="0.25">
      <c r="A33" s="561">
        <v>27</v>
      </c>
      <c r="B33" s="561" t="s">
        <v>115</v>
      </c>
      <c r="C33" s="559">
        <f>'18. Assets by Exposure classes'!C20</f>
        <v>0</v>
      </c>
      <c r="D33" s="559">
        <f>'18. Assets by Exposure classes'!D20</f>
        <v>29329125.089628495</v>
      </c>
      <c r="E33" s="559">
        <f>'18. Assets by Exposure classes'!E20</f>
        <v>0</v>
      </c>
      <c r="F33" s="561"/>
      <c r="G33" s="560"/>
      <c r="H33" s="562">
        <f t="shared" si="0"/>
        <v>29329125.089628495</v>
      </c>
      <c r="I33" s="543"/>
      <c r="O33" s="543"/>
    </row>
    <row r="34" spans="1:15" x14ac:dyDescent="0.25">
      <c r="A34" s="561">
        <v>28</v>
      </c>
      <c r="B34" s="567" t="s">
        <v>88</v>
      </c>
      <c r="C34" s="581">
        <f>SUM(C7:C33)</f>
        <v>1732309.8298893028</v>
      </c>
      <c r="D34" s="581">
        <f>SUM(D7:D33)</f>
        <v>210555144.34017998</v>
      </c>
      <c r="E34" s="581">
        <f>SUM(E7:E33)</f>
        <v>3004169.4737676252</v>
      </c>
      <c r="F34" s="581">
        <f t="shared" ref="F34" si="1">SUM(F7:F33)</f>
        <v>0</v>
      </c>
      <c r="G34" s="581">
        <f>SUM(G7:G33)</f>
        <v>1.5</v>
      </c>
      <c r="H34" s="562">
        <f t="shared" si="0"/>
        <v>209283284.69630164</v>
      </c>
      <c r="I34" s="543"/>
      <c r="O34" s="543"/>
    </row>
  </sheetData>
  <mergeCells count="5">
    <mergeCell ref="A5:B6"/>
    <mergeCell ref="C5:D5"/>
    <mergeCell ref="E5:E6"/>
    <mergeCell ref="F5:F6"/>
    <mergeCell ref="G5:G6"/>
  </mergeCells>
  <conditionalFormatting sqref="A5">
    <cfRule type="duplicateValues" dxfId="21" priority="2"/>
    <cfRule type="duplicateValues" dxfId="20" priority="3"/>
    <cfRule type="duplicateValues" dxfId="19" priority="4"/>
  </conditionalFormatting>
  <conditionalFormatting sqref="B7:B31">
    <cfRule type="duplicateValues" dxfId="18" priority="5"/>
  </conditionalFormatting>
  <conditionalFormatting sqref="J31">
    <cfRule type="duplicateValues" dxfId="17"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F346-32B7-4887-8E87-DAF0F77D4AC6}">
  <dimension ref="A1:F28"/>
  <sheetViews>
    <sheetView showGridLines="0" topLeftCell="B1" zoomScale="115" zoomScaleNormal="115" workbookViewId="0">
      <selection activeCell="C21" sqref="C21"/>
    </sheetView>
  </sheetViews>
  <sheetFormatPr defaultColWidth="9.109375" defaultRowHeight="12" x14ac:dyDescent="0.25"/>
  <cols>
    <col min="1" max="1" width="11.88671875" style="534" bestFit="1" customWidth="1"/>
    <col min="2" max="2" width="108" style="534" bestFit="1" customWidth="1"/>
    <col min="3" max="3" width="25.6640625" style="534" customWidth="1"/>
    <col min="4" max="4" width="26.6640625" style="534" customWidth="1"/>
    <col min="5" max="5" width="10.44140625" style="534" bestFit="1" customWidth="1"/>
    <col min="6" max="6" width="9.88671875" style="534" bestFit="1" customWidth="1"/>
    <col min="7" max="7" width="62.109375" style="534" customWidth="1"/>
    <col min="8" max="16384" width="9.109375" style="534"/>
  </cols>
  <sheetData>
    <row r="1" spans="1:6" ht="13.8" x14ac:dyDescent="0.3">
      <c r="A1" s="533" t="s">
        <v>41</v>
      </c>
      <c r="B1" s="22" t="str">
        <f>Info!C2</f>
        <v>სს სილქ ბანკი</v>
      </c>
    </row>
    <row r="2" spans="1:6" x14ac:dyDescent="0.25">
      <c r="A2" s="533" t="s">
        <v>42</v>
      </c>
      <c r="B2" s="535">
        <f>'1. key ratios'!B2</f>
        <v>45747</v>
      </c>
    </row>
    <row r="3" spans="1:6" x14ac:dyDescent="0.25">
      <c r="A3" s="536" t="s">
        <v>650</v>
      </c>
      <c r="C3" s="583"/>
    </row>
    <row r="4" spans="1:6" ht="40.5" customHeight="1" x14ac:dyDescent="0.25"/>
    <row r="5" spans="1:6" ht="30.6" customHeight="1" x14ac:dyDescent="0.25">
      <c r="A5" s="898" t="s">
        <v>651</v>
      </c>
      <c r="B5" s="898"/>
      <c r="C5" s="537" t="s">
        <v>652</v>
      </c>
      <c r="D5" s="537" t="s">
        <v>653</v>
      </c>
    </row>
    <row r="6" spans="1:6" x14ac:dyDescent="0.25">
      <c r="A6" s="584">
        <v>1</v>
      </c>
      <c r="B6" s="585" t="s">
        <v>654</v>
      </c>
      <c r="C6" s="586">
        <v>2418684.4257948752</v>
      </c>
      <c r="D6" s="586">
        <v>64961.815036364205</v>
      </c>
    </row>
    <row r="7" spans="1:6" x14ac:dyDescent="0.25">
      <c r="A7" s="587">
        <v>2</v>
      </c>
      <c r="B7" s="585" t="s">
        <v>655</v>
      </c>
      <c r="C7" s="540">
        <f>SUM(C8:C9)</f>
        <v>966044.73544182745</v>
      </c>
      <c r="D7" s="541">
        <f>D9+D8</f>
        <v>0</v>
      </c>
      <c r="E7" s="543"/>
      <c r="F7" s="543"/>
    </row>
    <row r="8" spans="1:6" x14ac:dyDescent="0.25">
      <c r="A8" s="588">
        <v>2.1</v>
      </c>
      <c r="B8" s="589" t="s">
        <v>656</v>
      </c>
      <c r="C8" s="540">
        <v>792636.68000301428</v>
      </c>
      <c r="D8" s="541"/>
      <c r="E8" s="543"/>
      <c r="F8" s="543"/>
    </row>
    <row r="9" spans="1:6" x14ac:dyDescent="0.25">
      <c r="A9" s="588">
        <v>2.2000000000000002</v>
      </c>
      <c r="B9" s="589" t="s">
        <v>657</v>
      </c>
      <c r="C9" s="540">
        <v>173408.05543881311</v>
      </c>
      <c r="D9" s="540"/>
      <c r="E9" s="543"/>
      <c r="F9" s="543"/>
    </row>
    <row r="10" spans="1:6" x14ac:dyDescent="0.25">
      <c r="A10" s="584">
        <v>3</v>
      </c>
      <c r="B10" s="585" t="s">
        <v>658</v>
      </c>
      <c r="C10" s="540">
        <f>SUM(C11:C13)</f>
        <v>352480.85963340674</v>
      </c>
      <c r="D10" s="586">
        <f>D12</f>
        <v>9889.8064469112214</v>
      </c>
      <c r="E10" s="543"/>
      <c r="F10" s="543"/>
    </row>
    <row r="11" spans="1:6" x14ac:dyDescent="0.25">
      <c r="A11" s="588">
        <v>3.1</v>
      </c>
      <c r="B11" s="589" t="s">
        <v>659</v>
      </c>
      <c r="C11" s="540">
        <v>1.5</v>
      </c>
      <c r="D11" s="541"/>
      <c r="E11" s="543"/>
      <c r="F11" s="543"/>
    </row>
    <row r="12" spans="1:6" x14ac:dyDescent="0.25">
      <c r="A12" s="588">
        <v>3.2</v>
      </c>
      <c r="B12" s="589" t="s">
        <v>660</v>
      </c>
      <c r="C12" s="540">
        <v>352479.35963340674</v>
      </c>
      <c r="D12" s="541">
        <v>9889.8064469112214</v>
      </c>
      <c r="E12" s="543"/>
      <c r="F12" s="543"/>
    </row>
    <row r="13" spans="1:6" x14ac:dyDescent="0.25">
      <c r="A13" s="588">
        <v>3.3</v>
      </c>
      <c r="B13" s="589" t="s">
        <v>661</v>
      </c>
      <c r="C13" s="540">
        <v>0</v>
      </c>
      <c r="D13" s="541"/>
      <c r="E13" s="543"/>
      <c r="F13" s="543"/>
    </row>
    <row r="14" spans="1:6" x14ac:dyDescent="0.25">
      <c r="A14" s="587">
        <v>4</v>
      </c>
      <c r="B14" s="590" t="s">
        <v>662</v>
      </c>
      <c r="C14" s="540">
        <v>-83151</v>
      </c>
      <c r="D14" s="541"/>
      <c r="E14" s="582"/>
    </row>
    <row r="15" spans="1:6" x14ac:dyDescent="0.25">
      <c r="A15" s="591">
        <v>5</v>
      </c>
      <c r="B15" s="585" t="s">
        <v>663</v>
      </c>
      <c r="C15" s="586">
        <f>C6+C7-C10+C14</f>
        <v>2949097.3016032958</v>
      </c>
      <c r="D15" s="586">
        <f>D6+D7-D10+D14</f>
        <v>55072.008589452984</v>
      </c>
      <c r="E15" s="592"/>
    </row>
    <row r="16" spans="1:6" x14ac:dyDescent="0.25">
      <c r="C16" s="748"/>
      <c r="D16" s="748"/>
    </row>
    <row r="17" spans="2:4" x14ac:dyDescent="0.25">
      <c r="C17" s="583"/>
    </row>
    <row r="18" spans="2:4" x14ac:dyDescent="0.25">
      <c r="C18" s="583"/>
    </row>
    <row r="19" spans="2:4" x14ac:dyDescent="0.25">
      <c r="C19" s="543"/>
    </row>
    <row r="21" spans="2:4" x14ac:dyDescent="0.25">
      <c r="D21" s="543"/>
    </row>
    <row r="22" spans="2:4" x14ac:dyDescent="0.25">
      <c r="B22" s="593"/>
      <c r="D22" s="543"/>
    </row>
    <row r="28" spans="2:4" x14ac:dyDescent="0.25">
      <c r="C28" s="543"/>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3D38-E861-40D7-AE34-A467923FC858}">
  <dimension ref="A1:D24"/>
  <sheetViews>
    <sheetView showGridLines="0" topLeftCell="B1" zoomScaleNormal="100" workbookViewId="0">
      <selection activeCell="C24" sqref="C24"/>
    </sheetView>
  </sheetViews>
  <sheetFormatPr defaultColWidth="9.109375" defaultRowHeight="12" x14ac:dyDescent="0.25"/>
  <cols>
    <col min="1" max="1" width="11.88671875" style="552" bestFit="1" customWidth="1"/>
    <col min="2" max="2" width="128.88671875" style="552" bestFit="1" customWidth="1"/>
    <col min="3" max="3" width="37" style="552" customWidth="1"/>
    <col min="4" max="4" width="50.5546875" style="552" customWidth="1"/>
    <col min="5" max="6" width="9.109375" style="552"/>
    <col min="7" max="7" width="62.109375" style="552" customWidth="1"/>
    <col min="8" max="16384" width="9.109375" style="552"/>
  </cols>
  <sheetData>
    <row r="1" spans="1:4" ht="13.8" x14ac:dyDescent="0.3">
      <c r="A1" s="533" t="s">
        <v>41</v>
      </c>
      <c r="B1" s="22" t="str">
        <f>Info!C2</f>
        <v>სს სილქ ბანკი</v>
      </c>
    </row>
    <row r="2" spans="1:4" x14ac:dyDescent="0.25">
      <c r="A2" s="533" t="s">
        <v>42</v>
      </c>
      <c r="B2" s="535">
        <f>'1. key ratios'!B2</f>
        <v>45747</v>
      </c>
    </row>
    <row r="3" spans="1:4" x14ac:dyDescent="0.25">
      <c r="A3" s="536" t="s">
        <v>664</v>
      </c>
      <c r="D3" s="594"/>
    </row>
    <row r="4" spans="1:4" ht="40.5" customHeight="1" x14ac:dyDescent="0.25">
      <c r="A4" s="536"/>
    </row>
    <row r="5" spans="1:4" ht="15" customHeight="1" x14ac:dyDescent="0.25">
      <c r="A5" s="899" t="s">
        <v>35</v>
      </c>
      <c r="B5" s="900"/>
      <c r="C5" s="903" t="s">
        <v>665</v>
      </c>
      <c r="D5" s="903" t="s">
        <v>666</v>
      </c>
    </row>
    <row r="6" spans="1:4" x14ac:dyDescent="0.25">
      <c r="A6" s="901"/>
      <c r="B6" s="902"/>
      <c r="C6" s="903"/>
      <c r="D6" s="903"/>
    </row>
    <row r="7" spans="1:4" x14ac:dyDescent="0.25">
      <c r="A7" s="567">
        <v>1</v>
      </c>
      <c r="B7" s="567" t="s">
        <v>667</v>
      </c>
      <c r="C7" s="560">
        <v>1624143.7082370988</v>
      </c>
      <c r="D7" s="596"/>
    </row>
    <row r="8" spans="1:4" x14ac:dyDescent="0.25">
      <c r="A8" s="561">
        <v>2</v>
      </c>
      <c r="B8" s="561" t="s">
        <v>668</v>
      </c>
      <c r="C8" s="559">
        <v>114971</v>
      </c>
      <c r="D8" s="596"/>
    </row>
    <row r="9" spans="1:4" x14ac:dyDescent="0.25">
      <c r="A9" s="561">
        <v>3</v>
      </c>
      <c r="B9" s="597" t="s">
        <v>669</v>
      </c>
      <c r="C9" s="559"/>
      <c r="D9" s="596"/>
    </row>
    <row r="10" spans="1:4" x14ac:dyDescent="0.25">
      <c r="A10" s="561">
        <v>4</v>
      </c>
      <c r="B10" s="561" t="s">
        <v>670</v>
      </c>
      <c r="C10" s="559">
        <f>SUM(C11:C17)</f>
        <v>6804.5</v>
      </c>
      <c r="D10" s="596"/>
    </row>
    <row r="11" spans="1:4" x14ac:dyDescent="0.25">
      <c r="A11" s="561">
        <v>5</v>
      </c>
      <c r="B11" s="598" t="s">
        <v>671</v>
      </c>
      <c r="C11" s="559">
        <v>3131</v>
      </c>
      <c r="D11" s="596"/>
    </row>
    <row r="12" spans="1:4" x14ac:dyDescent="0.25">
      <c r="A12" s="561">
        <v>6</v>
      </c>
      <c r="B12" s="598" t="s">
        <v>672</v>
      </c>
      <c r="C12" s="559">
        <v>861</v>
      </c>
      <c r="D12" s="596"/>
    </row>
    <row r="13" spans="1:4" x14ac:dyDescent="0.25">
      <c r="A13" s="561">
        <v>7</v>
      </c>
      <c r="B13" s="598" t="s">
        <v>673</v>
      </c>
      <c r="C13" s="560">
        <f>'19. Assets by Risk Sectors'!G34</f>
        <v>1.5</v>
      </c>
      <c r="D13" s="596"/>
    </row>
    <row r="14" spans="1:4" x14ac:dyDescent="0.25">
      <c r="A14" s="561">
        <v>8</v>
      </c>
      <c r="B14" s="598" t="s">
        <v>674</v>
      </c>
      <c r="C14" s="559"/>
      <c r="D14" s="561"/>
    </row>
    <row r="15" spans="1:4" x14ac:dyDescent="0.25">
      <c r="A15" s="561">
        <v>9</v>
      </c>
      <c r="B15" s="598" t="s">
        <v>675</v>
      </c>
      <c r="C15" s="559"/>
      <c r="D15" s="561"/>
    </row>
    <row r="16" spans="1:4" x14ac:dyDescent="0.25">
      <c r="A16" s="561">
        <v>10</v>
      </c>
      <c r="B16" s="598" t="s">
        <v>676</v>
      </c>
      <c r="C16" s="559"/>
      <c r="D16" s="561"/>
    </row>
    <row r="17" spans="1:4" x14ac:dyDescent="0.25">
      <c r="A17" s="561">
        <v>11</v>
      </c>
      <c r="B17" s="598" t="s">
        <v>677</v>
      </c>
      <c r="C17" s="559">
        <v>2811</v>
      </c>
      <c r="D17" s="596"/>
    </row>
    <row r="18" spans="1:4" x14ac:dyDescent="0.25">
      <c r="A18" s="567">
        <v>12</v>
      </c>
      <c r="B18" s="599" t="s">
        <v>678</v>
      </c>
      <c r="C18" s="753">
        <f>SUM(C7:C9,-C10)</f>
        <v>1732310.2082370988</v>
      </c>
      <c r="D18" s="596"/>
    </row>
    <row r="19" spans="1:4" x14ac:dyDescent="0.25">
      <c r="C19" s="750"/>
    </row>
    <row r="20" spans="1:4" x14ac:dyDescent="0.25">
      <c r="C20" s="751"/>
    </row>
    <row r="21" spans="1:4" x14ac:dyDescent="0.25">
      <c r="B21" s="533"/>
    </row>
    <row r="22" spans="1:4" x14ac:dyDescent="0.25">
      <c r="B22" s="752"/>
    </row>
    <row r="23" spans="1:4" x14ac:dyDescent="0.25">
      <c r="B23" s="536"/>
    </row>
    <row r="24" spans="1:4" x14ac:dyDescent="0.25">
      <c r="C24" s="594"/>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BDEA-CE9E-4AF2-8197-78757DED1BFC}">
  <dimension ref="A1:AB28"/>
  <sheetViews>
    <sheetView showGridLines="0" zoomScaleNormal="100" workbookViewId="0">
      <selection activeCell="B21" sqref="B21"/>
    </sheetView>
  </sheetViews>
  <sheetFormatPr defaultColWidth="9.109375" defaultRowHeight="12" x14ac:dyDescent="0.25"/>
  <cols>
    <col min="1" max="1" width="11.88671875" style="552" bestFit="1" customWidth="1"/>
    <col min="2" max="2" width="63.88671875" style="552" customWidth="1"/>
    <col min="3" max="3" width="15.5546875" style="552" customWidth="1"/>
    <col min="4" max="4" width="18.33203125" style="552" customWidth="1"/>
    <col min="5" max="6" width="22.33203125" style="552" customWidth="1"/>
    <col min="7" max="7" width="19" style="552" customWidth="1"/>
    <col min="8" max="18" width="22.33203125" style="552" customWidth="1"/>
    <col min="19" max="19" width="23.33203125" style="552" bestFit="1" customWidth="1"/>
    <col min="20" max="26" width="22.33203125" style="552" customWidth="1"/>
    <col min="27" max="27" width="23.33203125" style="552" customWidth="1"/>
    <col min="28" max="28" width="20" style="552" customWidth="1"/>
    <col min="29" max="16384" width="9.109375" style="552"/>
  </cols>
  <sheetData>
    <row r="1" spans="1:28" ht="13.8" x14ac:dyDescent="0.3">
      <c r="A1" s="533" t="s">
        <v>41</v>
      </c>
      <c r="B1" s="22" t="str">
        <f>Info!C2</f>
        <v>სს სილქ ბანკი</v>
      </c>
    </row>
    <row r="2" spans="1:28" x14ac:dyDescent="0.25">
      <c r="A2" s="533" t="s">
        <v>42</v>
      </c>
      <c r="B2" s="535">
        <f>'1. key ratios'!B2</f>
        <v>45747</v>
      </c>
      <c r="C2" s="553"/>
    </row>
    <row r="3" spans="1:28" x14ac:dyDescent="0.25">
      <c r="A3" s="536" t="s">
        <v>679</v>
      </c>
      <c r="E3" s="600"/>
      <c r="F3" s="601"/>
    </row>
    <row r="4" spans="1:28" ht="40.5" customHeight="1" x14ac:dyDescent="0.25">
      <c r="C4" s="594"/>
    </row>
    <row r="5" spans="1:28" ht="15" customHeight="1" x14ac:dyDescent="0.25">
      <c r="A5" s="904" t="s">
        <v>680</v>
      </c>
      <c r="B5" s="905"/>
      <c r="C5" s="896" t="s">
        <v>681</v>
      </c>
      <c r="D5" s="910"/>
      <c r="E5" s="910"/>
      <c r="F5" s="910"/>
      <c r="G5" s="910"/>
      <c r="H5" s="910"/>
      <c r="I5" s="910"/>
      <c r="J5" s="910"/>
      <c r="K5" s="910"/>
      <c r="L5" s="910"/>
      <c r="M5" s="910"/>
      <c r="N5" s="910"/>
      <c r="O5" s="910"/>
      <c r="P5" s="910"/>
      <c r="Q5" s="910"/>
      <c r="R5" s="910"/>
      <c r="S5" s="910"/>
      <c r="T5" s="602"/>
      <c r="U5" s="602"/>
      <c r="V5" s="602"/>
      <c r="W5" s="602"/>
      <c r="X5" s="602"/>
      <c r="Y5" s="602"/>
      <c r="Z5" s="602"/>
      <c r="AA5" s="575"/>
      <c r="AB5" s="600"/>
    </row>
    <row r="6" spans="1:28" x14ac:dyDescent="0.25">
      <c r="A6" s="906"/>
      <c r="B6" s="907"/>
      <c r="C6" s="911" t="s">
        <v>88</v>
      </c>
      <c r="D6" s="913" t="s">
        <v>682</v>
      </c>
      <c r="E6" s="913"/>
      <c r="F6" s="913"/>
      <c r="G6" s="913"/>
      <c r="H6" s="914" t="s">
        <v>683</v>
      </c>
      <c r="I6" s="915"/>
      <c r="J6" s="915"/>
      <c r="K6" s="916"/>
      <c r="L6" s="604"/>
      <c r="M6" s="917" t="s">
        <v>684</v>
      </c>
      <c r="N6" s="917"/>
      <c r="O6" s="917"/>
      <c r="P6" s="917"/>
      <c r="Q6" s="917"/>
      <c r="R6" s="917"/>
      <c r="S6" s="895"/>
      <c r="T6" s="603"/>
      <c r="U6" s="897" t="s">
        <v>685</v>
      </c>
      <c r="V6" s="897"/>
      <c r="W6" s="897"/>
      <c r="X6" s="897"/>
      <c r="Y6" s="897"/>
      <c r="Z6" s="897"/>
      <c r="AA6" s="893"/>
      <c r="AB6" s="604"/>
    </row>
    <row r="7" spans="1:28" ht="24" x14ac:dyDescent="0.25">
      <c r="A7" s="908"/>
      <c r="B7" s="909"/>
      <c r="C7" s="912"/>
      <c r="D7" s="606"/>
      <c r="E7" s="555" t="s">
        <v>686</v>
      </c>
      <c r="F7" s="555" t="s">
        <v>687</v>
      </c>
      <c r="G7" s="555" t="s">
        <v>688</v>
      </c>
      <c r="H7" s="607"/>
      <c r="I7" s="555" t="s">
        <v>686</v>
      </c>
      <c r="J7" s="555" t="s">
        <v>687</v>
      </c>
      <c r="K7" s="555" t="s">
        <v>688</v>
      </c>
      <c r="L7" s="605"/>
      <c r="M7" s="555" t="s">
        <v>686</v>
      </c>
      <c r="N7" s="555" t="s">
        <v>687</v>
      </c>
      <c r="O7" s="555" t="s">
        <v>689</v>
      </c>
      <c r="P7" s="555" t="s">
        <v>690</v>
      </c>
      <c r="Q7" s="555" t="s">
        <v>691</v>
      </c>
      <c r="R7" s="555" t="s">
        <v>692</v>
      </c>
      <c r="S7" s="555" t="s">
        <v>693</v>
      </c>
      <c r="T7" s="557"/>
      <c r="U7" s="555" t="s">
        <v>686</v>
      </c>
      <c r="V7" s="555" t="s">
        <v>687</v>
      </c>
      <c r="W7" s="555" t="s">
        <v>689</v>
      </c>
      <c r="X7" s="555" t="s">
        <v>690</v>
      </c>
      <c r="Y7" s="555" t="s">
        <v>691</v>
      </c>
      <c r="Z7" s="555" t="s">
        <v>692</v>
      </c>
      <c r="AA7" s="555" t="s">
        <v>693</v>
      </c>
      <c r="AB7" s="600"/>
    </row>
    <row r="8" spans="1:28" x14ac:dyDescent="0.25">
      <c r="A8" s="608">
        <v>1</v>
      </c>
      <c r="B8" s="567" t="s">
        <v>652</v>
      </c>
      <c r="C8" s="581">
        <f>D8+H8+L8</f>
        <v>132584588.34670463</v>
      </c>
      <c r="D8" s="559">
        <f>D13+D14</f>
        <v>126813815.65639779</v>
      </c>
      <c r="E8" s="559">
        <f t="shared" ref="E8:AA8" si="0">E13+E14</f>
        <v>1601521.7899954254</v>
      </c>
      <c r="F8" s="559">
        <f t="shared" si="0"/>
        <v>0</v>
      </c>
      <c r="G8" s="559">
        <f t="shared" si="0"/>
        <v>0</v>
      </c>
      <c r="H8" s="559">
        <f t="shared" si="0"/>
        <v>4038463.3241538149</v>
      </c>
      <c r="I8" s="559">
        <f t="shared" si="0"/>
        <v>41380.045355227041</v>
      </c>
      <c r="J8" s="559">
        <f t="shared" si="0"/>
        <v>3706580.7371944012</v>
      </c>
      <c r="K8" s="559">
        <f t="shared" si="0"/>
        <v>0</v>
      </c>
      <c r="L8" s="559">
        <f t="shared" si="0"/>
        <v>1732309.366153039</v>
      </c>
      <c r="M8" s="559">
        <f t="shared" si="0"/>
        <v>32521.260704225355</v>
      </c>
      <c r="N8" s="559">
        <f t="shared" si="0"/>
        <v>295960.48836760706</v>
      </c>
      <c r="O8" s="559">
        <f t="shared" si="0"/>
        <v>139056.82267259716</v>
      </c>
      <c r="P8" s="559">
        <f t="shared" si="0"/>
        <v>937397.33698981348</v>
      </c>
      <c r="Q8" s="559">
        <f t="shared" si="0"/>
        <v>23699.517418796011</v>
      </c>
      <c r="R8" s="559">
        <f t="shared" si="0"/>
        <v>0</v>
      </c>
      <c r="S8" s="559">
        <f t="shared" si="0"/>
        <v>144338.21</v>
      </c>
      <c r="T8" s="559">
        <f t="shared" si="0"/>
        <v>0</v>
      </c>
      <c r="U8" s="559">
        <f t="shared" si="0"/>
        <v>0</v>
      </c>
      <c r="V8" s="559">
        <f t="shared" si="0"/>
        <v>0</v>
      </c>
      <c r="W8" s="559">
        <f t="shared" si="0"/>
        <v>0</v>
      </c>
      <c r="X8" s="559">
        <f t="shared" si="0"/>
        <v>0</v>
      </c>
      <c r="Y8" s="559">
        <f t="shared" si="0"/>
        <v>0</v>
      </c>
      <c r="Z8" s="559">
        <f t="shared" si="0"/>
        <v>0</v>
      </c>
      <c r="AA8" s="559">
        <f t="shared" si="0"/>
        <v>0</v>
      </c>
    </row>
    <row r="9" spans="1:28" x14ac:dyDescent="0.25">
      <c r="A9" s="561">
        <v>1.1000000000000001</v>
      </c>
      <c r="B9" s="587" t="s">
        <v>694</v>
      </c>
      <c r="C9" s="581">
        <f t="shared" ref="C9:C14" si="1">D9+H9+L9</f>
        <v>0</v>
      </c>
      <c r="D9" s="559"/>
      <c r="E9" s="559"/>
      <c r="F9" s="559"/>
      <c r="G9" s="559"/>
      <c r="H9" s="559"/>
      <c r="I9" s="559"/>
      <c r="J9" s="559"/>
      <c r="K9" s="559"/>
      <c r="L9" s="559"/>
      <c r="M9" s="559"/>
      <c r="N9" s="559"/>
      <c r="O9" s="559"/>
      <c r="P9" s="559"/>
      <c r="Q9" s="559"/>
      <c r="R9" s="559"/>
      <c r="S9" s="559"/>
      <c r="T9" s="559"/>
      <c r="U9" s="559"/>
      <c r="V9" s="559"/>
      <c r="W9" s="559"/>
      <c r="X9" s="559"/>
      <c r="Y9" s="559"/>
      <c r="Z9" s="559"/>
      <c r="AA9" s="559"/>
    </row>
    <row r="10" spans="1:28" x14ac:dyDescent="0.25">
      <c r="A10" s="561">
        <v>1.2</v>
      </c>
      <c r="B10" s="587" t="s">
        <v>695</v>
      </c>
      <c r="C10" s="581">
        <f t="shared" si="1"/>
        <v>0</v>
      </c>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row>
    <row r="11" spans="1:28" x14ac:dyDescent="0.25">
      <c r="A11" s="561">
        <v>1.3</v>
      </c>
      <c r="B11" s="587" t="s">
        <v>696</v>
      </c>
      <c r="C11" s="581">
        <f t="shared" si="1"/>
        <v>0</v>
      </c>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row>
    <row r="12" spans="1:28" x14ac:dyDescent="0.25">
      <c r="A12" s="561">
        <v>1.4</v>
      </c>
      <c r="B12" s="587" t="s">
        <v>697</v>
      </c>
      <c r="C12" s="581">
        <f t="shared" si="1"/>
        <v>0</v>
      </c>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row>
    <row r="13" spans="1:28" x14ac:dyDescent="0.25">
      <c r="A13" s="561">
        <v>1.5</v>
      </c>
      <c r="B13" s="587" t="s">
        <v>698</v>
      </c>
      <c r="C13" s="753">
        <f t="shared" si="1"/>
        <v>92091404.504617214</v>
      </c>
      <c r="D13" s="560">
        <v>88153664.558996171</v>
      </c>
      <c r="E13" s="560">
        <v>1146899.3009965837</v>
      </c>
      <c r="F13" s="560">
        <v>0</v>
      </c>
      <c r="G13" s="560">
        <v>0</v>
      </c>
      <c r="H13" s="560">
        <v>3008451.7359177242</v>
      </c>
      <c r="I13" s="560">
        <v>0</v>
      </c>
      <c r="J13" s="560">
        <v>3008451.7359177242</v>
      </c>
      <c r="K13" s="560">
        <v>0</v>
      </c>
      <c r="L13" s="560">
        <v>929288.20970333298</v>
      </c>
      <c r="M13" s="560">
        <v>0</v>
      </c>
      <c r="N13" s="560">
        <v>895.64131313131315</v>
      </c>
      <c r="O13" s="560">
        <v>2976.4802356256732</v>
      </c>
      <c r="P13" s="560">
        <v>781077.87815457606</v>
      </c>
      <c r="Q13" s="560">
        <v>0</v>
      </c>
      <c r="R13" s="560">
        <v>0</v>
      </c>
      <c r="S13" s="560">
        <v>144338.21</v>
      </c>
      <c r="T13" s="560"/>
      <c r="U13" s="560"/>
      <c r="V13" s="560"/>
      <c r="W13" s="560"/>
      <c r="X13" s="560"/>
      <c r="Y13" s="560"/>
      <c r="Z13" s="560"/>
      <c r="AA13" s="560"/>
    </row>
    <row r="14" spans="1:28" x14ac:dyDescent="0.25">
      <c r="A14" s="561">
        <v>1.6</v>
      </c>
      <c r="B14" s="587" t="s">
        <v>699</v>
      </c>
      <c r="C14" s="753">
        <f t="shared" si="1"/>
        <v>40493183.84208741</v>
      </c>
      <c r="D14" s="560">
        <v>38660151.097401612</v>
      </c>
      <c r="E14" s="560">
        <v>454622.48899884167</v>
      </c>
      <c r="F14" s="560">
        <v>0</v>
      </c>
      <c r="G14" s="560">
        <v>0</v>
      </c>
      <c r="H14" s="560">
        <v>1030011.5882360906</v>
      </c>
      <c r="I14" s="560">
        <v>41380.045355227041</v>
      </c>
      <c r="J14" s="560">
        <v>698129.00127667713</v>
      </c>
      <c r="K14" s="560">
        <v>0</v>
      </c>
      <c r="L14" s="560">
        <v>803021.15644970606</v>
      </c>
      <c r="M14" s="560">
        <v>32521.260704225355</v>
      </c>
      <c r="N14" s="560">
        <v>295064.84705447574</v>
      </c>
      <c r="O14" s="560">
        <v>136080.34243697149</v>
      </c>
      <c r="P14" s="560">
        <v>156319.45883523743</v>
      </c>
      <c r="Q14" s="560">
        <v>23699.517418796011</v>
      </c>
      <c r="R14" s="560">
        <v>0</v>
      </c>
      <c r="S14" s="560">
        <v>0</v>
      </c>
      <c r="T14" s="560"/>
      <c r="U14" s="560"/>
      <c r="V14" s="560"/>
      <c r="W14" s="560"/>
      <c r="X14" s="560"/>
      <c r="Y14" s="560"/>
      <c r="Z14" s="560"/>
      <c r="AA14" s="560"/>
    </row>
    <row r="15" spans="1:28" x14ac:dyDescent="0.25">
      <c r="A15" s="608">
        <v>2</v>
      </c>
      <c r="B15" s="567" t="s">
        <v>101</v>
      </c>
      <c r="C15" s="754">
        <f>C17</f>
        <v>24356220.339999996</v>
      </c>
      <c r="D15" s="754">
        <f>D17</f>
        <v>24356220.339999996</v>
      </c>
      <c r="E15" s="561"/>
      <c r="F15" s="561"/>
      <c r="G15" s="561"/>
      <c r="H15" s="561"/>
      <c r="I15" s="561"/>
      <c r="J15" s="561"/>
      <c r="K15" s="561"/>
      <c r="L15" s="561"/>
      <c r="M15" s="561"/>
      <c r="N15" s="561"/>
      <c r="O15" s="561"/>
      <c r="P15" s="561"/>
      <c r="Q15" s="561"/>
      <c r="R15" s="561"/>
      <c r="S15" s="561"/>
      <c r="T15" s="561"/>
      <c r="U15" s="561"/>
      <c r="V15" s="561"/>
      <c r="W15" s="561"/>
      <c r="X15" s="561"/>
      <c r="Y15" s="561"/>
      <c r="Z15" s="561"/>
      <c r="AA15" s="561"/>
    </row>
    <row r="16" spans="1:28" x14ac:dyDescent="0.25">
      <c r="A16" s="561">
        <v>2.1</v>
      </c>
      <c r="B16" s="587" t="s">
        <v>694</v>
      </c>
      <c r="C16" s="587"/>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row>
    <row r="17" spans="1:27" x14ac:dyDescent="0.25">
      <c r="A17" s="561">
        <v>2.2000000000000002</v>
      </c>
      <c r="B17" s="587" t="s">
        <v>695</v>
      </c>
      <c r="C17" s="755">
        <f>D17+H17+L17</f>
        <v>24356220.339999996</v>
      </c>
      <c r="D17" s="560">
        <v>24356220.339999996</v>
      </c>
      <c r="E17" s="561"/>
      <c r="F17" s="561"/>
      <c r="G17" s="561"/>
      <c r="H17" s="561"/>
      <c r="I17" s="561"/>
      <c r="J17" s="561"/>
      <c r="K17" s="561"/>
      <c r="L17" s="561"/>
      <c r="M17" s="561"/>
      <c r="N17" s="561"/>
      <c r="O17" s="561"/>
      <c r="P17" s="561"/>
      <c r="Q17" s="561"/>
      <c r="R17" s="561"/>
      <c r="S17" s="561"/>
      <c r="T17" s="561"/>
      <c r="U17" s="561"/>
      <c r="V17" s="561"/>
      <c r="W17" s="561"/>
      <c r="X17" s="561"/>
      <c r="Y17" s="561"/>
      <c r="Z17" s="561"/>
      <c r="AA17" s="561"/>
    </row>
    <row r="18" spans="1:27" x14ac:dyDescent="0.25">
      <c r="A18" s="561">
        <v>2.2999999999999998</v>
      </c>
      <c r="B18" s="587" t="s">
        <v>696</v>
      </c>
      <c r="C18" s="587"/>
      <c r="D18" s="561"/>
      <c r="E18" s="561"/>
      <c r="G18" s="561"/>
      <c r="H18" s="561"/>
      <c r="I18" s="561"/>
      <c r="J18" s="561"/>
      <c r="K18" s="561"/>
      <c r="L18" s="561"/>
      <c r="M18" s="561"/>
      <c r="N18" s="561"/>
      <c r="O18" s="561"/>
      <c r="P18" s="561"/>
      <c r="Q18" s="561"/>
      <c r="R18" s="561"/>
      <c r="S18" s="561"/>
      <c r="T18" s="561"/>
      <c r="U18" s="561"/>
      <c r="V18" s="561"/>
      <c r="W18" s="561"/>
      <c r="X18" s="561"/>
      <c r="Y18" s="561"/>
      <c r="Z18" s="561"/>
      <c r="AA18" s="561"/>
    </row>
    <row r="19" spans="1:27" x14ac:dyDescent="0.25">
      <c r="A19" s="561">
        <v>2.4</v>
      </c>
      <c r="B19" s="587" t="s">
        <v>697</v>
      </c>
      <c r="C19" s="587"/>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row>
    <row r="20" spans="1:27" x14ac:dyDescent="0.25">
      <c r="A20" s="561">
        <v>2.5</v>
      </c>
      <c r="B20" s="587" t="s">
        <v>698</v>
      </c>
      <c r="C20" s="587"/>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row>
    <row r="21" spans="1:27" x14ac:dyDescent="0.25">
      <c r="A21" s="561">
        <v>2.6</v>
      </c>
      <c r="B21" s="587" t="s">
        <v>699</v>
      </c>
      <c r="C21" s="587"/>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row>
    <row r="22" spans="1:27" x14ac:dyDescent="0.25">
      <c r="A22" s="608">
        <v>3</v>
      </c>
      <c r="B22" s="609" t="s">
        <v>700</v>
      </c>
      <c r="C22" s="756">
        <f>C27+C28</f>
        <v>23701879.32</v>
      </c>
      <c r="D22" s="756">
        <f>D27+D28</f>
        <v>12614431.549999999</v>
      </c>
      <c r="E22" s="610"/>
      <c r="F22" s="610"/>
      <c r="G22" s="610"/>
      <c r="H22" s="567"/>
      <c r="I22" s="610"/>
      <c r="J22" s="610"/>
      <c r="K22" s="610"/>
      <c r="L22" s="567"/>
      <c r="M22" s="610"/>
      <c r="N22" s="610"/>
      <c r="O22" s="610"/>
      <c r="P22" s="610"/>
      <c r="Q22" s="610"/>
      <c r="R22" s="610"/>
      <c r="S22" s="610"/>
      <c r="T22" s="567"/>
      <c r="U22" s="610"/>
      <c r="V22" s="610"/>
      <c r="W22" s="610"/>
      <c r="X22" s="610"/>
      <c r="Y22" s="610"/>
      <c r="Z22" s="610"/>
      <c r="AA22" s="610"/>
    </row>
    <row r="23" spans="1:27" x14ac:dyDescent="0.25">
      <c r="A23" s="561">
        <v>3.1</v>
      </c>
      <c r="B23" s="587" t="s">
        <v>694</v>
      </c>
      <c r="C23" s="587"/>
      <c r="D23" s="567"/>
      <c r="E23" s="610"/>
      <c r="F23" s="610"/>
      <c r="G23" s="610"/>
      <c r="H23" s="567"/>
      <c r="I23" s="610"/>
      <c r="J23" s="610"/>
      <c r="K23" s="610"/>
      <c r="L23" s="567"/>
      <c r="M23" s="610"/>
      <c r="N23" s="610"/>
      <c r="O23" s="610"/>
      <c r="P23" s="610"/>
      <c r="Q23" s="610"/>
      <c r="R23" s="610"/>
      <c r="S23" s="610"/>
      <c r="T23" s="567"/>
      <c r="U23" s="610"/>
      <c r="V23" s="610"/>
      <c r="W23" s="610"/>
      <c r="X23" s="610"/>
      <c r="Y23" s="610"/>
      <c r="Z23" s="610"/>
      <c r="AA23" s="610"/>
    </row>
    <row r="24" spans="1:27" x14ac:dyDescent="0.25">
      <c r="A24" s="561">
        <v>3.2</v>
      </c>
      <c r="B24" s="587" t="s">
        <v>695</v>
      </c>
      <c r="C24" s="587"/>
      <c r="D24" s="567"/>
      <c r="E24" s="610"/>
      <c r="F24" s="610"/>
      <c r="G24" s="610"/>
      <c r="H24" s="567"/>
      <c r="I24" s="610"/>
      <c r="J24" s="610"/>
      <c r="K24" s="610"/>
      <c r="L24" s="567"/>
      <c r="M24" s="610"/>
      <c r="N24" s="610"/>
      <c r="O24" s="610"/>
      <c r="P24" s="610"/>
      <c r="Q24" s="610"/>
      <c r="R24" s="610"/>
      <c r="S24" s="610"/>
      <c r="T24" s="567"/>
      <c r="U24" s="610"/>
      <c r="V24" s="610"/>
      <c r="W24" s="610"/>
      <c r="X24" s="610"/>
      <c r="Y24" s="610"/>
      <c r="Z24" s="610"/>
      <c r="AA24" s="610"/>
    </row>
    <row r="25" spans="1:27" x14ac:dyDescent="0.25">
      <c r="A25" s="561">
        <v>3.3</v>
      </c>
      <c r="B25" s="587" t="s">
        <v>696</v>
      </c>
      <c r="C25" s="587"/>
      <c r="D25" s="567"/>
      <c r="E25" s="610"/>
      <c r="F25" s="610"/>
      <c r="G25" s="610"/>
      <c r="H25" s="567"/>
      <c r="I25" s="610"/>
      <c r="J25" s="610"/>
      <c r="K25" s="610"/>
      <c r="L25" s="567"/>
      <c r="M25" s="610"/>
      <c r="N25" s="610"/>
      <c r="O25" s="610"/>
      <c r="P25" s="610"/>
      <c r="Q25" s="610"/>
      <c r="R25" s="610"/>
      <c r="S25" s="610"/>
      <c r="T25" s="567"/>
      <c r="U25" s="610"/>
      <c r="V25" s="610"/>
      <c r="W25" s="610"/>
      <c r="X25" s="610"/>
      <c r="Y25" s="610"/>
      <c r="Z25" s="610"/>
      <c r="AA25" s="610"/>
    </row>
    <row r="26" spans="1:27" x14ac:dyDescent="0.25">
      <c r="A26" s="561">
        <v>3.4</v>
      </c>
      <c r="B26" s="587" t="s">
        <v>697</v>
      </c>
      <c r="C26" s="587"/>
      <c r="D26" s="567"/>
      <c r="E26" s="610"/>
      <c r="F26" s="610"/>
      <c r="G26" s="610"/>
      <c r="H26" s="567"/>
      <c r="I26" s="610"/>
      <c r="J26" s="610"/>
      <c r="K26" s="610"/>
      <c r="L26" s="567"/>
      <c r="M26" s="610"/>
      <c r="N26" s="610"/>
      <c r="O26" s="610"/>
      <c r="P26" s="610"/>
      <c r="Q26" s="610"/>
      <c r="R26" s="610"/>
      <c r="S26" s="610"/>
      <c r="T26" s="567"/>
      <c r="U26" s="610"/>
      <c r="V26" s="610"/>
      <c r="W26" s="610"/>
      <c r="X26" s="610"/>
      <c r="Y26" s="610"/>
      <c r="Z26" s="610"/>
      <c r="AA26" s="610"/>
    </row>
    <row r="27" spans="1:27" x14ac:dyDescent="0.25">
      <c r="A27" s="561">
        <v>3.5</v>
      </c>
      <c r="B27" s="587" t="s">
        <v>698</v>
      </c>
      <c r="C27" s="757">
        <f>D27+H27+L27</f>
        <v>12614431.549999999</v>
      </c>
      <c r="D27" s="749">
        <f>'4. Off-balance'!E28</f>
        <v>12614431.549999999</v>
      </c>
      <c r="E27" s="610"/>
      <c r="F27" s="610"/>
      <c r="G27" s="610"/>
      <c r="H27" s="567"/>
      <c r="I27" s="610"/>
      <c r="J27" s="610"/>
      <c r="K27" s="610"/>
      <c r="L27" s="567"/>
      <c r="M27" s="610"/>
      <c r="N27" s="610"/>
      <c r="O27" s="610"/>
      <c r="P27" s="610"/>
      <c r="Q27" s="610"/>
      <c r="R27" s="610"/>
      <c r="S27" s="610"/>
      <c r="T27" s="567"/>
      <c r="U27" s="610"/>
      <c r="V27" s="610"/>
      <c r="W27" s="610"/>
      <c r="X27" s="610"/>
      <c r="Y27" s="610"/>
      <c r="Z27" s="610"/>
      <c r="AA27" s="610"/>
    </row>
    <row r="28" spans="1:27" x14ac:dyDescent="0.25">
      <c r="A28" s="561">
        <v>3.6</v>
      </c>
      <c r="B28" s="587" t="s">
        <v>699</v>
      </c>
      <c r="C28" s="757">
        <f>'4. Off-balance'!E27</f>
        <v>11087447.77</v>
      </c>
      <c r="D28" s="587"/>
      <c r="E28" s="610"/>
      <c r="F28" s="610"/>
      <c r="G28" s="610"/>
      <c r="H28" s="567"/>
      <c r="I28" s="610"/>
      <c r="J28" s="610"/>
      <c r="K28" s="610"/>
      <c r="L28" s="567"/>
      <c r="M28" s="610"/>
      <c r="N28" s="610"/>
      <c r="O28" s="610"/>
      <c r="P28" s="610"/>
      <c r="Q28" s="610"/>
      <c r="R28" s="610"/>
      <c r="S28" s="610"/>
      <c r="T28" s="567"/>
      <c r="U28" s="610"/>
      <c r="V28" s="610"/>
      <c r="W28" s="610"/>
      <c r="X28" s="610"/>
      <c r="Y28" s="610"/>
      <c r="Z28" s="610"/>
      <c r="AA28" s="61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215F-FE1B-4EBA-85E8-5A7C6CBEC189}">
  <dimension ref="A1:AA25"/>
  <sheetViews>
    <sheetView showGridLines="0" topLeftCell="A7" zoomScaleNormal="100" workbookViewId="0">
      <selection activeCell="E29" sqref="E29"/>
    </sheetView>
  </sheetViews>
  <sheetFormatPr defaultColWidth="9.109375" defaultRowHeight="12" x14ac:dyDescent="0.25"/>
  <cols>
    <col min="1" max="1" width="11.88671875" style="552" bestFit="1" customWidth="1"/>
    <col min="2" max="2" width="90.33203125" style="552" bestFit="1" customWidth="1"/>
    <col min="3" max="3" width="20.109375" style="552" customWidth="1"/>
    <col min="4" max="4" width="17" style="552" customWidth="1"/>
    <col min="5" max="5" width="15" style="552" customWidth="1"/>
    <col min="6" max="6" width="17.109375" style="552" customWidth="1"/>
    <col min="7" max="7" width="15.109375" style="552" customWidth="1"/>
    <col min="8" max="8" width="18.5546875" style="552" customWidth="1"/>
    <col min="9" max="9" width="15" style="552" customWidth="1"/>
    <col min="10" max="10" width="14.88671875" style="552" customWidth="1"/>
    <col min="11" max="11" width="14.5546875" style="552" customWidth="1"/>
    <col min="12" max="12" width="13" style="552" customWidth="1"/>
    <col min="13" max="13" width="16.6640625" style="552" customWidth="1"/>
    <col min="14" max="14" width="19.33203125" style="552" customWidth="1"/>
    <col min="15" max="15" width="20.6640625" style="552" customWidth="1"/>
    <col min="16" max="16" width="20.109375" style="552" customWidth="1"/>
    <col min="17" max="17" width="18.88671875" style="552" customWidth="1"/>
    <col min="18" max="18" width="22.33203125" style="552" customWidth="1"/>
    <col min="19" max="19" width="18.88671875" style="552" customWidth="1"/>
    <col min="20" max="20" width="14.109375" style="552" customWidth="1"/>
    <col min="21" max="22" width="19.109375" style="552" customWidth="1"/>
    <col min="23" max="27" width="17.88671875" style="552" customWidth="1"/>
    <col min="28" max="16384" width="9.109375" style="552"/>
  </cols>
  <sheetData>
    <row r="1" spans="1:27" ht="13.8" x14ac:dyDescent="0.3">
      <c r="A1" s="533" t="s">
        <v>41</v>
      </c>
      <c r="B1" s="22" t="str">
        <f>Info!C2</f>
        <v>სს სილქ ბანკი</v>
      </c>
    </row>
    <row r="2" spans="1:27" x14ac:dyDescent="0.25">
      <c r="A2" s="533" t="s">
        <v>42</v>
      </c>
      <c r="B2" s="535">
        <f>'1. key ratios'!B2</f>
        <v>45747</v>
      </c>
    </row>
    <row r="3" spans="1:27" x14ac:dyDescent="0.25">
      <c r="A3" s="536" t="s">
        <v>701</v>
      </c>
      <c r="C3" s="611"/>
    </row>
    <row r="4" spans="1:27" ht="40.5" customHeight="1" thickBot="1" x14ac:dyDescent="0.3">
      <c r="A4" s="536"/>
      <c r="B4" s="611"/>
      <c r="C4" s="611"/>
    </row>
    <row r="5" spans="1:27" ht="13.5" customHeight="1" x14ac:dyDescent="0.25">
      <c r="A5" s="918" t="s">
        <v>702</v>
      </c>
      <c r="B5" s="919"/>
      <c r="C5" s="924" t="s">
        <v>703</v>
      </c>
      <c r="D5" s="925"/>
      <c r="E5" s="925"/>
      <c r="F5" s="925"/>
      <c r="G5" s="925"/>
      <c r="H5" s="925"/>
      <c r="I5" s="925"/>
      <c r="J5" s="925"/>
      <c r="K5" s="925"/>
      <c r="L5" s="925"/>
      <c r="M5" s="925"/>
      <c r="N5" s="925"/>
      <c r="O5" s="925"/>
      <c r="P5" s="925"/>
      <c r="Q5" s="925"/>
      <c r="R5" s="925"/>
      <c r="S5" s="925"/>
      <c r="T5" s="925"/>
      <c r="U5" s="925"/>
      <c r="V5" s="925"/>
      <c r="W5" s="925"/>
      <c r="X5" s="925"/>
      <c r="Y5" s="925"/>
      <c r="Z5" s="925"/>
      <c r="AA5" s="926"/>
    </row>
    <row r="6" spans="1:27" ht="12" customHeight="1" x14ac:dyDescent="0.25">
      <c r="A6" s="920"/>
      <c r="B6" s="921"/>
      <c r="C6" s="927" t="s">
        <v>88</v>
      </c>
      <c r="D6" s="894" t="s">
        <v>682</v>
      </c>
      <c r="E6" s="894"/>
      <c r="F6" s="894"/>
      <c r="G6" s="894"/>
      <c r="H6" s="914" t="s">
        <v>683</v>
      </c>
      <c r="I6" s="915"/>
      <c r="J6" s="915"/>
      <c r="K6" s="915"/>
      <c r="L6" s="603"/>
      <c r="M6" s="897" t="s">
        <v>684</v>
      </c>
      <c r="N6" s="897"/>
      <c r="O6" s="897"/>
      <c r="P6" s="897"/>
      <c r="Q6" s="897"/>
      <c r="R6" s="897"/>
      <c r="S6" s="893"/>
      <c r="T6" s="603"/>
      <c r="U6" s="897" t="s">
        <v>685</v>
      </c>
      <c r="V6" s="897"/>
      <c r="W6" s="897"/>
      <c r="X6" s="897"/>
      <c r="Y6" s="897"/>
      <c r="Z6" s="897"/>
      <c r="AA6" s="929"/>
    </row>
    <row r="7" spans="1:27" ht="36" x14ac:dyDescent="0.25">
      <c r="A7" s="922"/>
      <c r="B7" s="923"/>
      <c r="C7" s="928"/>
      <c r="D7" s="606"/>
      <c r="E7" s="555" t="s">
        <v>686</v>
      </c>
      <c r="F7" s="555" t="s">
        <v>687</v>
      </c>
      <c r="G7" s="555" t="s">
        <v>688</v>
      </c>
      <c r="H7" s="553"/>
      <c r="I7" s="555" t="s">
        <v>686</v>
      </c>
      <c r="J7" s="555" t="s">
        <v>687</v>
      </c>
      <c r="K7" s="555" t="s">
        <v>688</v>
      </c>
      <c r="L7" s="557"/>
      <c r="M7" s="555" t="s">
        <v>686</v>
      </c>
      <c r="N7" s="555" t="s">
        <v>704</v>
      </c>
      <c r="O7" s="555" t="s">
        <v>705</v>
      </c>
      <c r="P7" s="555" t="s">
        <v>706</v>
      </c>
      <c r="Q7" s="555" t="s">
        <v>707</v>
      </c>
      <c r="R7" s="555" t="s">
        <v>708</v>
      </c>
      <c r="S7" s="555" t="s">
        <v>693</v>
      </c>
      <c r="T7" s="557"/>
      <c r="U7" s="555" t="s">
        <v>686</v>
      </c>
      <c r="V7" s="555" t="s">
        <v>704</v>
      </c>
      <c r="W7" s="555" t="s">
        <v>705</v>
      </c>
      <c r="X7" s="555" t="s">
        <v>706</v>
      </c>
      <c r="Y7" s="555" t="s">
        <v>707</v>
      </c>
      <c r="Z7" s="555" t="s">
        <v>708</v>
      </c>
      <c r="AA7" s="555" t="s">
        <v>693</v>
      </c>
    </row>
    <row r="8" spans="1:27" x14ac:dyDescent="0.25">
      <c r="A8" s="758">
        <v>1</v>
      </c>
      <c r="B8" s="759" t="s">
        <v>652</v>
      </c>
      <c r="C8" s="760">
        <f>'22. Quality'!C8</f>
        <v>132584588.34670463</v>
      </c>
      <c r="D8" s="760">
        <f>'22. Quality'!D8</f>
        <v>126813815.65639779</v>
      </c>
      <c r="E8" s="760">
        <f>'22. Quality'!E8</f>
        <v>1601521.7899954254</v>
      </c>
      <c r="F8" s="760">
        <f>'22. Quality'!F8</f>
        <v>0</v>
      </c>
      <c r="G8" s="760">
        <f>'22. Quality'!G8</f>
        <v>0</v>
      </c>
      <c r="H8" s="760">
        <f>'22. Quality'!H8</f>
        <v>4038463.3241538149</v>
      </c>
      <c r="I8" s="760">
        <f>'22. Quality'!I8</f>
        <v>41380.045355227041</v>
      </c>
      <c r="J8" s="760">
        <f>'22. Quality'!J8</f>
        <v>3706580.7371944012</v>
      </c>
      <c r="K8" s="760">
        <f>'22. Quality'!K8</f>
        <v>0</v>
      </c>
      <c r="L8" s="760">
        <f>'22. Quality'!L8</f>
        <v>1732309.366153039</v>
      </c>
      <c r="M8" s="760">
        <f>'22. Quality'!M8</f>
        <v>32521.260704225355</v>
      </c>
      <c r="N8" s="760">
        <f>'22. Quality'!N8</f>
        <v>295960.48836760706</v>
      </c>
      <c r="O8" s="760">
        <f>'22. Quality'!O8</f>
        <v>139056.82267259716</v>
      </c>
      <c r="P8" s="760">
        <f>'22. Quality'!P8</f>
        <v>937397.33698981348</v>
      </c>
      <c r="Q8" s="760">
        <f>'22. Quality'!Q8</f>
        <v>23699.517418796011</v>
      </c>
      <c r="R8" s="760">
        <f>'22. Quality'!R8</f>
        <v>0</v>
      </c>
      <c r="S8" s="760">
        <f>'22. Quality'!S8</f>
        <v>144338.21</v>
      </c>
      <c r="T8" s="561"/>
      <c r="U8" s="561"/>
      <c r="V8" s="561"/>
      <c r="W8" s="561"/>
      <c r="X8" s="561"/>
      <c r="Y8" s="561"/>
      <c r="Z8" s="561"/>
      <c r="AA8" s="619"/>
    </row>
    <row r="9" spans="1:27" x14ac:dyDescent="0.25">
      <c r="A9" s="612">
        <v>1.1000000000000001</v>
      </c>
      <c r="B9" s="761" t="s">
        <v>709</v>
      </c>
      <c r="C9" s="762">
        <v>114737432.56582642</v>
      </c>
      <c r="D9" s="560">
        <v>109714294.55626301</v>
      </c>
      <c r="E9" s="560">
        <v>1315315.1177062159</v>
      </c>
      <c r="F9" s="560">
        <v>0</v>
      </c>
      <c r="G9" s="560">
        <v>0</v>
      </c>
      <c r="H9" s="560">
        <v>3704315.2711715777</v>
      </c>
      <c r="I9" s="560">
        <v>15021.179999999998</v>
      </c>
      <c r="J9" s="560">
        <v>3538385.3779386301</v>
      </c>
      <c r="K9" s="560">
        <v>0</v>
      </c>
      <c r="L9" s="560">
        <v>1318822.9283918035</v>
      </c>
      <c r="M9" s="560">
        <v>0</v>
      </c>
      <c r="N9" s="560">
        <v>292278.67705447576</v>
      </c>
      <c r="O9" s="560">
        <v>27521.983182751537</v>
      </c>
      <c r="P9" s="560">
        <v>781077.87815457606</v>
      </c>
      <c r="Q9" s="560">
        <v>0</v>
      </c>
      <c r="R9" s="560">
        <v>0</v>
      </c>
      <c r="S9" s="560">
        <v>144338.21</v>
      </c>
      <c r="T9" s="561"/>
      <c r="U9" s="561"/>
      <c r="V9" s="561"/>
      <c r="W9" s="561"/>
      <c r="X9" s="561"/>
      <c r="Y9" s="561"/>
      <c r="Z9" s="561"/>
      <c r="AA9" s="619"/>
    </row>
    <row r="10" spans="1:27" x14ac:dyDescent="0.25">
      <c r="A10" s="763" t="s">
        <v>233</v>
      </c>
      <c r="B10" s="764" t="s">
        <v>710</v>
      </c>
      <c r="C10" s="765">
        <v>100689903.66176821</v>
      </c>
      <c r="D10" s="560">
        <v>95897630.548620537</v>
      </c>
      <c r="E10" s="560">
        <v>1125013.1916608522</v>
      </c>
      <c r="F10" s="560">
        <v>0</v>
      </c>
      <c r="G10" s="560">
        <v>0</v>
      </c>
      <c r="H10" s="560">
        <v>3505104.9879386299</v>
      </c>
      <c r="I10" s="560">
        <v>0</v>
      </c>
      <c r="J10" s="560">
        <v>3446720.81793863</v>
      </c>
      <c r="K10" s="560">
        <v>0</v>
      </c>
      <c r="L10" s="560">
        <v>1287168.1252090519</v>
      </c>
      <c r="M10" s="560">
        <v>0</v>
      </c>
      <c r="N10" s="560">
        <v>292278.67705447576</v>
      </c>
      <c r="O10" s="560">
        <v>0</v>
      </c>
      <c r="P10" s="560">
        <v>781077.87815457606</v>
      </c>
      <c r="Q10" s="560">
        <v>0</v>
      </c>
      <c r="R10" s="560">
        <v>0</v>
      </c>
      <c r="S10" s="560">
        <v>144338.21</v>
      </c>
      <c r="T10" s="561"/>
      <c r="U10" s="561"/>
      <c r="V10" s="561"/>
      <c r="W10" s="561"/>
      <c r="X10" s="561"/>
      <c r="Y10" s="561"/>
      <c r="Z10" s="561"/>
      <c r="AA10" s="619"/>
    </row>
    <row r="11" spans="1:27" x14ac:dyDescent="0.25">
      <c r="A11" s="766" t="s">
        <v>711</v>
      </c>
      <c r="B11" s="767" t="s">
        <v>712</v>
      </c>
      <c r="C11" s="768">
        <v>58977087.292729661</v>
      </c>
      <c r="D11" s="560">
        <v>56199442.148967415</v>
      </c>
      <c r="E11" s="560">
        <v>0</v>
      </c>
      <c r="F11" s="560">
        <v>0</v>
      </c>
      <c r="G11" s="560">
        <v>0</v>
      </c>
      <c r="H11" s="560">
        <v>1490477.0185531913</v>
      </c>
      <c r="I11" s="560">
        <v>0</v>
      </c>
      <c r="J11" s="560">
        <v>1432092.8485531914</v>
      </c>
      <c r="K11" s="560">
        <v>0</v>
      </c>
      <c r="L11" s="560">
        <v>1287168.1252090519</v>
      </c>
      <c r="M11" s="560">
        <v>0</v>
      </c>
      <c r="N11" s="560">
        <v>292278.67705447576</v>
      </c>
      <c r="O11" s="560">
        <v>0</v>
      </c>
      <c r="P11" s="560">
        <v>781077.87815457606</v>
      </c>
      <c r="Q11" s="560">
        <v>0</v>
      </c>
      <c r="R11" s="560">
        <v>0</v>
      </c>
      <c r="S11" s="560">
        <v>144338.21</v>
      </c>
      <c r="T11" s="561"/>
      <c r="U11" s="561"/>
      <c r="V11" s="561"/>
      <c r="W11" s="561"/>
      <c r="X11" s="561"/>
      <c r="Y11" s="561"/>
      <c r="Z11" s="561"/>
      <c r="AA11" s="619"/>
    </row>
    <row r="12" spans="1:27" x14ac:dyDescent="0.25">
      <c r="A12" s="766" t="s">
        <v>713</v>
      </c>
      <c r="B12" s="767" t="s">
        <v>714</v>
      </c>
      <c r="C12" s="768">
        <v>27130876.427665949</v>
      </c>
      <c r="D12" s="560">
        <v>25181745.193538964</v>
      </c>
      <c r="E12" s="560">
        <v>1125013.1916608522</v>
      </c>
      <c r="F12" s="560">
        <v>0</v>
      </c>
      <c r="G12" s="560">
        <v>0</v>
      </c>
      <c r="H12" s="560">
        <v>1949131.2341269839</v>
      </c>
      <c r="I12" s="560">
        <v>0</v>
      </c>
      <c r="J12" s="560">
        <v>1949131.2341269839</v>
      </c>
      <c r="K12" s="560">
        <v>0</v>
      </c>
      <c r="L12" s="560">
        <v>0</v>
      </c>
      <c r="M12" s="560">
        <v>0</v>
      </c>
      <c r="N12" s="560">
        <v>0</v>
      </c>
      <c r="O12" s="560">
        <v>0</v>
      </c>
      <c r="P12" s="560">
        <v>0</v>
      </c>
      <c r="Q12" s="560">
        <v>0</v>
      </c>
      <c r="R12" s="560">
        <v>0</v>
      </c>
      <c r="S12" s="560">
        <v>0</v>
      </c>
      <c r="T12" s="561"/>
      <c r="U12" s="561"/>
      <c r="V12" s="561"/>
      <c r="W12" s="561"/>
      <c r="X12" s="561"/>
      <c r="Y12" s="561"/>
      <c r="Z12" s="561"/>
      <c r="AA12" s="619"/>
    </row>
    <row r="13" spans="1:27" x14ac:dyDescent="0.25">
      <c r="A13" s="766" t="s">
        <v>715</v>
      </c>
      <c r="B13" s="767" t="s">
        <v>716</v>
      </c>
      <c r="C13" s="768">
        <v>8840372.1294017453</v>
      </c>
      <c r="D13" s="560">
        <v>8840372.1294017453</v>
      </c>
      <c r="E13" s="560">
        <v>0</v>
      </c>
      <c r="F13" s="560">
        <v>0</v>
      </c>
      <c r="G13" s="560">
        <v>0</v>
      </c>
      <c r="H13" s="560">
        <v>0</v>
      </c>
      <c r="I13" s="560">
        <v>0</v>
      </c>
      <c r="J13" s="560">
        <v>0</v>
      </c>
      <c r="K13" s="560">
        <v>0</v>
      </c>
      <c r="L13" s="560">
        <v>0</v>
      </c>
      <c r="M13" s="560">
        <v>0</v>
      </c>
      <c r="N13" s="560">
        <v>0</v>
      </c>
      <c r="O13" s="560">
        <v>0</v>
      </c>
      <c r="P13" s="560">
        <v>0</v>
      </c>
      <c r="Q13" s="560">
        <v>0</v>
      </c>
      <c r="R13" s="560">
        <v>0</v>
      </c>
      <c r="S13" s="560">
        <v>0</v>
      </c>
      <c r="T13" s="561"/>
      <c r="U13" s="561"/>
      <c r="V13" s="561"/>
      <c r="W13" s="561"/>
      <c r="X13" s="561"/>
      <c r="Y13" s="561"/>
      <c r="Z13" s="561"/>
      <c r="AA13" s="619"/>
    </row>
    <row r="14" spans="1:27" x14ac:dyDescent="0.25">
      <c r="A14" s="766" t="s">
        <v>717</v>
      </c>
      <c r="B14" s="767" t="s">
        <v>718</v>
      </c>
      <c r="C14" s="768">
        <v>5741567.8119710023</v>
      </c>
      <c r="D14" s="560">
        <v>5676071.0767125469</v>
      </c>
      <c r="E14" s="560">
        <v>0</v>
      </c>
      <c r="F14" s="560">
        <v>0</v>
      </c>
      <c r="G14" s="560">
        <v>0</v>
      </c>
      <c r="H14" s="560">
        <v>65496.735258454981</v>
      </c>
      <c r="I14" s="560">
        <v>0</v>
      </c>
      <c r="J14" s="560">
        <v>65496.735258454981</v>
      </c>
      <c r="K14" s="560">
        <v>0</v>
      </c>
      <c r="L14" s="560">
        <v>0</v>
      </c>
      <c r="M14" s="560">
        <v>0</v>
      </c>
      <c r="N14" s="560">
        <v>0</v>
      </c>
      <c r="O14" s="560">
        <v>0</v>
      </c>
      <c r="P14" s="560">
        <v>0</v>
      </c>
      <c r="Q14" s="560">
        <v>0</v>
      </c>
      <c r="R14" s="560">
        <v>0</v>
      </c>
      <c r="S14" s="560">
        <v>0</v>
      </c>
      <c r="T14" s="561"/>
      <c r="U14" s="561"/>
      <c r="V14" s="561"/>
      <c r="W14" s="561"/>
      <c r="X14" s="561"/>
      <c r="Y14" s="561"/>
      <c r="Z14" s="561"/>
      <c r="AA14" s="619"/>
    </row>
    <row r="15" spans="1:27" x14ac:dyDescent="0.25">
      <c r="A15" s="769">
        <v>1.2</v>
      </c>
      <c r="B15" s="613" t="s">
        <v>719</v>
      </c>
      <c r="C15" s="770">
        <v>2431024.6141494261</v>
      </c>
      <c r="D15" s="560">
        <v>1289255.2804344271</v>
      </c>
      <c r="E15" s="560">
        <v>13368.622373682379</v>
      </c>
      <c r="F15" s="560">
        <v>0</v>
      </c>
      <c r="G15" s="560">
        <v>0</v>
      </c>
      <c r="H15" s="560">
        <v>387473.54516704741</v>
      </c>
      <c r="I15" s="560">
        <v>1966.355</v>
      </c>
      <c r="J15" s="560">
        <v>380749.90578884515</v>
      </c>
      <c r="K15" s="560">
        <v>0</v>
      </c>
      <c r="L15" s="560">
        <v>754294.86910464242</v>
      </c>
      <c r="M15" s="560">
        <v>0</v>
      </c>
      <c r="N15" s="560">
        <v>164268.0536042084</v>
      </c>
      <c r="O15" s="560">
        <v>21453.889156260513</v>
      </c>
      <c r="P15" s="560">
        <v>446167.49117438123</v>
      </c>
      <c r="Q15" s="560">
        <v>0</v>
      </c>
      <c r="R15" s="560">
        <v>0</v>
      </c>
      <c r="S15" s="560">
        <v>84638.210696971815</v>
      </c>
      <c r="T15" s="561"/>
      <c r="U15" s="561"/>
      <c r="V15" s="561"/>
      <c r="W15" s="561"/>
      <c r="X15" s="561"/>
      <c r="Y15" s="561"/>
      <c r="Z15" s="561"/>
      <c r="AA15" s="619"/>
    </row>
    <row r="16" spans="1:27" x14ac:dyDescent="0.25">
      <c r="A16" s="612">
        <v>1.3</v>
      </c>
      <c r="B16" s="613" t="s">
        <v>720</v>
      </c>
      <c r="C16" s="614">
        <f>C17+C19</f>
        <v>2014099751.1672983</v>
      </c>
      <c r="D16" s="614">
        <f t="shared" ref="D16:S16" si="0">D17+D19</f>
        <v>1983913627.6672983</v>
      </c>
      <c r="E16" s="614">
        <f t="shared" si="0"/>
        <v>18504352.99822557</v>
      </c>
      <c r="F16" s="614">
        <f t="shared" si="0"/>
        <v>0</v>
      </c>
      <c r="G16" s="614">
        <f t="shared" si="0"/>
        <v>0</v>
      </c>
      <c r="H16" s="614">
        <f t="shared" si="0"/>
        <v>27769163.679999985</v>
      </c>
      <c r="I16" s="614">
        <f t="shared" si="0"/>
        <v>40679.31</v>
      </c>
      <c r="J16" s="614">
        <f t="shared" si="0"/>
        <v>27365276.239999987</v>
      </c>
      <c r="K16" s="614">
        <f t="shared" si="0"/>
        <v>0</v>
      </c>
      <c r="L16" s="614">
        <f t="shared" si="0"/>
        <v>2416959.8200000003</v>
      </c>
      <c r="M16" s="614">
        <f t="shared" si="0"/>
        <v>0</v>
      </c>
      <c r="N16" s="614">
        <f t="shared" si="0"/>
        <v>525787</v>
      </c>
      <c r="O16" s="614">
        <f t="shared" si="0"/>
        <v>52301.969999999994</v>
      </c>
      <c r="P16" s="614">
        <f t="shared" si="0"/>
        <v>1455599.7999999998</v>
      </c>
      <c r="Q16" s="614">
        <f t="shared" si="0"/>
        <v>0</v>
      </c>
      <c r="R16" s="614">
        <f t="shared" si="0"/>
        <v>0</v>
      </c>
      <c r="S16" s="614">
        <f t="shared" si="0"/>
        <v>249057</v>
      </c>
      <c r="T16" s="615"/>
      <c r="U16" s="615"/>
      <c r="V16" s="615"/>
      <c r="W16" s="615"/>
      <c r="X16" s="615"/>
      <c r="Y16" s="615"/>
      <c r="Z16" s="615"/>
      <c r="AA16" s="616"/>
    </row>
    <row r="17" spans="1:27" ht="24" x14ac:dyDescent="0.25">
      <c r="A17" s="617" t="s">
        <v>721</v>
      </c>
      <c r="B17" s="622" t="s">
        <v>722</v>
      </c>
      <c r="C17" s="618">
        <f>D17+H17+L17</f>
        <v>115034496.05923212</v>
      </c>
      <c r="D17" s="559">
        <v>110013625.86283958</v>
      </c>
      <c r="E17" s="559">
        <v>1318213.521562187</v>
      </c>
      <c r="F17" s="559">
        <v>0</v>
      </c>
      <c r="G17" s="559">
        <v>0</v>
      </c>
      <c r="H17" s="559">
        <v>3702047.268000734</v>
      </c>
      <c r="I17" s="559">
        <v>19663.549999999996</v>
      </c>
      <c r="J17" s="559">
        <v>3531910.0420025568</v>
      </c>
      <c r="K17" s="559">
        <v>0</v>
      </c>
      <c r="L17" s="559">
        <v>1318822.9283918035</v>
      </c>
      <c r="M17" s="559">
        <v>0</v>
      </c>
      <c r="N17" s="559">
        <v>292278.67705447576</v>
      </c>
      <c r="O17" s="559">
        <v>27521.983182751537</v>
      </c>
      <c r="P17" s="559">
        <v>781077.87815457606</v>
      </c>
      <c r="Q17" s="559">
        <v>0</v>
      </c>
      <c r="R17" s="559">
        <v>0</v>
      </c>
      <c r="S17" s="559">
        <v>144338.21</v>
      </c>
      <c r="T17" s="561"/>
      <c r="U17" s="561"/>
      <c r="V17" s="561"/>
      <c r="W17" s="561"/>
      <c r="X17" s="561"/>
      <c r="Y17" s="561"/>
      <c r="Z17" s="561"/>
      <c r="AA17" s="619"/>
    </row>
    <row r="18" spans="1:27" ht="24" x14ac:dyDescent="0.25">
      <c r="A18" s="620" t="s">
        <v>723</v>
      </c>
      <c r="B18" s="624" t="s">
        <v>724</v>
      </c>
      <c r="C18" s="618">
        <f>D18+H18+L18</f>
        <v>100188585.93235448</v>
      </c>
      <c r="D18" s="559">
        <v>95417809.484465256</v>
      </c>
      <c r="E18" s="559">
        <v>1125013.1916608522</v>
      </c>
      <c r="F18" s="559">
        <v>0</v>
      </c>
      <c r="G18" s="559">
        <v>0</v>
      </c>
      <c r="H18" s="559">
        <v>3483608.3226801748</v>
      </c>
      <c r="I18" s="559">
        <v>0</v>
      </c>
      <c r="J18" s="559">
        <v>3425224.1526801749</v>
      </c>
      <c r="K18" s="559">
        <v>0</v>
      </c>
      <c r="L18" s="559">
        <v>1287168.1252090519</v>
      </c>
      <c r="M18" s="559">
        <v>0</v>
      </c>
      <c r="N18" s="559">
        <v>292278.67705447576</v>
      </c>
      <c r="O18" s="559">
        <v>0</v>
      </c>
      <c r="P18" s="559">
        <v>781077.87815457606</v>
      </c>
      <c r="Q18" s="559">
        <v>0</v>
      </c>
      <c r="R18" s="559">
        <v>0</v>
      </c>
      <c r="S18" s="559">
        <v>144338.21</v>
      </c>
      <c r="T18" s="561"/>
      <c r="U18" s="561"/>
      <c r="V18" s="561"/>
      <c r="W18" s="561"/>
      <c r="X18" s="561"/>
      <c r="Y18" s="561"/>
      <c r="Z18" s="561"/>
      <c r="AA18" s="619"/>
    </row>
    <row r="19" spans="1:27" x14ac:dyDescent="0.25">
      <c r="A19" s="617" t="s">
        <v>725</v>
      </c>
      <c r="B19" s="621" t="s">
        <v>726</v>
      </c>
      <c r="C19" s="618">
        <f>D19+H19+L19</f>
        <v>1899065255.1080661</v>
      </c>
      <c r="D19" s="559">
        <v>1873900001.8044586</v>
      </c>
      <c r="E19" s="559">
        <v>17186139.476663385</v>
      </c>
      <c r="F19" s="559">
        <v>0</v>
      </c>
      <c r="G19" s="559">
        <v>0</v>
      </c>
      <c r="H19" s="559">
        <v>24067116.411999252</v>
      </c>
      <c r="I19" s="559">
        <v>21015.760000000002</v>
      </c>
      <c r="J19" s="559">
        <v>23833366.197997432</v>
      </c>
      <c r="K19" s="559">
        <v>0</v>
      </c>
      <c r="L19" s="559">
        <v>1098136.8916081968</v>
      </c>
      <c r="M19" s="559">
        <v>0</v>
      </c>
      <c r="N19" s="559">
        <v>233508.32294552424</v>
      </c>
      <c r="O19" s="559">
        <v>24779.986817248457</v>
      </c>
      <c r="P19" s="559">
        <v>674521.92184542387</v>
      </c>
      <c r="Q19" s="559">
        <v>0</v>
      </c>
      <c r="R19" s="559">
        <v>0</v>
      </c>
      <c r="S19" s="559">
        <v>104718.79000000001</v>
      </c>
      <c r="T19" s="561"/>
      <c r="U19" s="561"/>
      <c r="V19" s="561"/>
      <c r="W19" s="561"/>
      <c r="X19" s="561"/>
      <c r="Y19" s="561"/>
      <c r="Z19" s="561"/>
      <c r="AA19" s="619"/>
    </row>
    <row r="20" spans="1:27" x14ac:dyDescent="0.25">
      <c r="A20" s="620" t="s">
        <v>727</v>
      </c>
      <c r="B20" s="622" t="s">
        <v>728</v>
      </c>
      <c r="C20" s="618">
        <f>D20+H20+L20</f>
        <v>99005413.217908174</v>
      </c>
      <c r="D20" s="559">
        <v>96218554.995797396</v>
      </c>
      <c r="E20" s="559">
        <v>459542.78833914275</v>
      </c>
      <c r="F20" s="559">
        <v>0</v>
      </c>
      <c r="G20" s="559">
        <v>0</v>
      </c>
      <c r="H20" s="559">
        <v>1724588.6473198237</v>
      </c>
      <c r="I20" s="559">
        <v>0</v>
      </c>
      <c r="J20" s="559">
        <v>1630079.4873198238</v>
      </c>
      <c r="K20" s="559">
        <v>0</v>
      </c>
      <c r="L20" s="559">
        <v>1062269.5747909481</v>
      </c>
      <c r="M20" s="559">
        <v>0</v>
      </c>
      <c r="N20" s="559">
        <v>233508.32294552424</v>
      </c>
      <c r="O20" s="559">
        <v>0</v>
      </c>
      <c r="P20" s="559">
        <v>674521.92184542387</v>
      </c>
      <c r="Q20" s="559">
        <v>0</v>
      </c>
      <c r="R20" s="559">
        <v>0</v>
      </c>
      <c r="S20" s="559">
        <v>104718.79000000001</v>
      </c>
      <c r="T20" s="561"/>
      <c r="U20" s="561"/>
      <c r="V20" s="561"/>
      <c r="W20" s="561"/>
      <c r="X20" s="561"/>
      <c r="Y20" s="561"/>
      <c r="Z20" s="561"/>
      <c r="AA20" s="619"/>
    </row>
    <row r="21" spans="1:27" x14ac:dyDescent="0.25">
      <c r="A21" s="623">
        <v>1.4</v>
      </c>
      <c r="B21" s="624" t="s">
        <v>729</v>
      </c>
      <c r="C21" s="625"/>
      <c r="D21" s="559"/>
      <c r="E21" s="559"/>
      <c r="F21" s="559"/>
      <c r="G21" s="559"/>
      <c r="H21" s="559"/>
      <c r="I21" s="559"/>
      <c r="J21" s="559"/>
      <c r="K21" s="559"/>
      <c r="L21" s="559"/>
      <c r="M21" s="559"/>
      <c r="N21" s="559"/>
      <c r="O21" s="559"/>
      <c r="P21" s="559"/>
      <c r="Q21" s="559"/>
      <c r="R21" s="559"/>
      <c r="S21" s="559"/>
      <c r="T21" s="561"/>
      <c r="U21" s="561"/>
      <c r="V21" s="561"/>
      <c r="W21" s="561"/>
      <c r="X21" s="561"/>
      <c r="Y21" s="561"/>
      <c r="Z21" s="561"/>
      <c r="AA21" s="619"/>
    </row>
    <row r="22" spans="1:27" ht="12.6" thickBot="1" x14ac:dyDescent="0.3">
      <c r="A22" s="626">
        <v>1.5</v>
      </c>
      <c r="B22" s="627" t="s">
        <v>730</v>
      </c>
      <c r="C22" s="628"/>
      <c r="D22" s="629"/>
      <c r="E22" s="629"/>
      <c r="F22" s="629"/>
      <c r="G22" s="629"/>
      <c r="H22" s="629"/>
      <c r="I22" s="629"/>
      <c r="J22" s="629"/>
      <c r="K22" s="629"/>
      <c r="L22" s="629"/>
      <c r="M22" s="629"/>
      <c r="N22" s="629"/>
      <c r="O22" s="629"/>
      <c r="P22" s="629"/>
      <c r="Q22" s="629"/>
      <c r="R22" s="629"/>
      <c r="S22" s="629"/>
      <c r="T22" s="630"/>
      <c r="U22" s="630"/>
      <c r="V22" s="630"/>
      <c r="W22" s="630"/>
      <c r="X22" s="630"/>
      <c r="Y22" s="630"/>
      <c r="Z22" s="630"/>
      <c r="AA22" s="631"/>
    </row>
    <row r="25" spans="1:27" x14ac:dyDescent="0.25">
      <c r="C25" s="594"/>
    </row>
  </sheetData>
  <mergeCells count="7">
    <mergeCell ref="A5:B7"/>
    <mergeCell ref="C5:AA5"/>
    <mergeCell ref="C6:C7"/>
    <mergeCell ref="D6:G6"/>
    <mergeCell ref="H6:K6"/>
    <mergeCell ref="M6:S6"/>
    <mergeCell ref="U6:AA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1FE4-666D-4109-84F6-E6AE9F249A4A}">
  <dimension ref="A1:L33"/>
  <sheetViews>
    <sheetView showGridLines="0" topLeftCell="A7" zoomScaleNormal="100" workbookViewId="0">
      <selection activeCell="D35" sqref="D35"/>
    </sheetView>
  </sheetViews>
  <sheetFormatPr defaultColWidth="9.109375" defaultRowHeight="12" x14ac:dyDescent="0.25"/>
  <cols>
    <col min="1" max="1" width="11.88671875" style="552" bestFit="1" customWidth="1"/>
    <col min="2" max="2" width="93.44140625" style="552" customWidth="1"/>
    <col min="3" max="3" width="18.88671875" style="552" customWidth="1"/>
    <col min="4" max="5" width="16.109375" style="552" customWidth="1"/>
    <col min="6" max="6" width="16.109375" style="600" customWidth="1"/>
    <col min="7" max="7" width="20.6640625" style="600" customWidth="1"/>
    <col min="8" max="8" width="16.109375" style="552" customWidth="1"/>
    <col min="9" max="11" width="16.109375" style="600" customWidth="1"/>
    <col min="12" max="12" width="21" style="600" customWidth="1"/>
    <col min="13" max="16384" width="9.109375" style="552"/>
  </cols>
  <sheetData>
    <row r="1" spans="1:12" ht="13.8" x14ac:dyDescent="0.3">
      <c r="A1" s="533" t="s">
        <v>41</v>
      </c>
      <c r="B1" s="22" t="str">
        <f>Info!C2</f>
        <v>სს სილქ ბანკი</v>
      </c>
      <c r="F1" s="552"/>
      <c r="G1" s="552"/>
      <c r="I1" s="552"/>
      <c r="J1" s="552"/>
      <c r="K1" s="552"/>
      <c r="L1" s="552"/>
    </row>
    <row r="2" spans="1:12" x14ac:dyDescent="0.25">
      <c r="A2" s="533" t="s">
        <v>42</v>
      </c>
      <c r="B2" s="535">
        <f>'1. key ratios'!B2</f>
        <v>45747</v>
      </c>
      <c r="F2" s="552"/>
      <c r="G2" s="552"/>
      <c r="I2" s="552"/>
      <c r="J2" s="552"/>
      <c r="K2" s="552"/>
      <c r="L2" s="552"/>
    </row>
    <row r="3" spans="1:12" x14ac:dyDescent="0.25">
      <c r="A3" s="536" t="s">
        <v>731</v>
      </c>
      <c r="F3" s="552"/>
      <c r="G3" s="552"/>
      <c r="I3" s="552"/>
      <c r="J3" s="552"/>
      <c r="K3" s="552"/>
      <c r="L3" s="552"/>
    </row>
    <row r="4" spans="1:12" ht="40.5" customHeight="1" x14ac:dyDescent="0.25">
      <c r="F4" s="552"/>
      <c r="G4" s="552"/>
      <c r="I4" s="552"/>
      <c r="J4" s="552"/>
      <c r="K4" s="552"/>
      <c r="L4" s="552"/>
    </row>
    <row r="5" spans="1:12" ht="37.5" customHeight="1" x14ac:dyDescent="0.25">
      <c r="A5" s="881" t="s">
        <v>732</v>
      </c>
      <c r="B5" s="882"/>
      <c r="C5" s="930" t="s">
        <v>607</v>
      </c>
      <c r="D5" s="931"/>
      <c r="E5" s="931"/>
      <c r="F5" s="931"/>
      <c r="G5" s="931"/>
      <c r="H5" s="930" t="s">
        <v>733</v>
      </c>
      <c r="I5" s="932"/>
      <c r="J5" s="932"/>
      <c r="K5" s="932"/>
      <c r="L5" s="933"/>
    </row>
    <row r="6" spans="1:12" ht="47.4" customHeight="1" x14ac:dyDescent="0.25">
      <c r="A6" s="885"/>
      <c r="B6" s="886"/>
      <c r="C6" s="632"/>
      <c r="D6" s="556" t="s">
        <v>682</v>
      </c>
      <c r="E6" s="556" t="s">
        <v>683</v>
      </c>
      <c r="F6" s="556" t="s">
        <v>684</v>
      </c>
      <c r="G6" s="556" t="s">
        <v>685</v>
      </c>
      <c r="H6" s="557"/>
      <c r="I6" s="556" t="s">
        <v>682</v>
      </c>
      <c r="J6" s="556" t="s">
        <v>683</v>
      </c>
      <c r="K6" s="556" t="s">
        <v>684</v>
      </c>
      <c r="L6" s="556" t="s">
        <v>685</v>
      </c>
    </row>
    <row r="7" spans="1:12" x14ac:dyDescent="0.25">
      <c r="A7" s="561">
        <v>1</v>
      </c>
      <c r="B7" s="578" t="s">
        <v>620</v>
      </c>
      <c r="C7" s="633">
        <v>3653452.2026026836</v>
      </c>
      <c r="D7" s="559">
        <v>3598124.4347724151</v>
      </c>
      <c r="E7" s="559">
        <v>50896.597378831793</v>
      </c>
      <c r="F7" s="559">
        <v>4431.1704514363882</v>
      </c>
      <c r="G7" s="559">
        <f>C7-D7-E7-F7</f>
        <v>2.9831426218152046E-10</v>
      </c>
      <c r="H7" s="559">
        <v>95136.375513441657</v>
      </c>
      <c r="I7" s="559">
        <v>83836.537268723318</v>
      </c>
      <c r="J7" s="559">
        <v>9154.5586835797603</v>
      </c>
      <c r="K7" s="559">
        <v>2145.2795611385773</v>
      </c>
      <c r="L7" s="559">
        <v>0</v>
      </c>
    </row>
    <row r="8" spans="1:12" x14ac:dyDescent="0.25">
      <c r="A8" s="561">
        <v>2</v>
      </c>
      <c r="B8" s="578" t="s">
        <v>621</v>
      </c>
      <c r="C8" s="633">
        <v>6345296.2062887773</v>
      </c>
      <c r="D8" s="559">
        <v>6337842.0983969225</v>
      </c>
      <c r="E8" s="559">
        <v>7454.1078918548938</v>
      </c>
      <c r="F8" s="559">
        <v>0</v>
      </c>
      <c r="G8" s="559">
        <v>0</v>
      </c>
      <c r="H8" s="559">
        <v>75658.505189272051</v>
      </c>
      <c r="I8" s="559">
        <v>72959.424074945593</v>
      </c>
      <c r="J8" s="559">
        <v>2699.0811143264668</v>
      </c>
      <c r="K8" s="559">
        <v>0</v>
      </c>
      <c r="L8" s="559">
        <v>0</v>
      </c>
    </row>
    <row r="9" spans="1:12" x14ac:dyDescent="0.25">
      <c r="A9" s="561">
        <v>3</v>
      </c>
      <c r="B9" s="578" t="s">
        <v>622</v>
      </c>
      <c r="C9" s="633">
        <v>15999.218055919071</v>
      </c>
      <c r="D9" s="559">
        <v>15999.218055919071</v>
      </c>
      <c r="E9" s="559">
        <v>0</v>
      </c>
      <c r="F9" s="559">
        <v>0</v>
      </c>
      <c r="G9" s="559">
        <v>0</v>
      </c>
      <c r="H9" s="559">
        <v>156.66303705722973</v>
      </c>
      <c r="I9" s="559">
        <v>156.66303705722973</v>
      </c>
      <c r="J9" s="559">
        <v>0</v>
      </c>
      <c r="K9" s="559">
        <v>0</v>
      </c>
      <c r="L9" s="559">
        <v>0</v>
      </c>
    </row>
    <row r="10" spans="1:12" x14ac:dyDescent="0.25">
      <c r="A10" s="561">
        <v>4</v>
      </c>
      <c r="B10" s="578" t="s">
        <v>624</v>
      </c>
      <c r="C10" s="633">
        <v>14082287.588295726</v>
      </c>
      <c r="D10" s="559">
        <v>14081572.714659363</v>
      </c>
      <c r="E10" s="559">
        <v>714.87363636363648</v>
      </c>
      <c r="F10" s="559">
        <v>0</v>
      </c>
      <c r="G10" s="559">
        <v>0</v>
      </c>
      <c r="H10" s="559">
        <v>69626.284685356062</v>
      </c>
      <c r="I10" s="559">
        <v>69367.433866581719</v>
      </c>
      <c r="J10" s="559">
        <v>258.85081877434919</v>
      </c>
      <c r="K10" s="559">
        <v>0</v>
      </c>
      <c r="L10" s="559">
        <v>0</v>
      </c>
    </row>
    <row r="11" spans="1:12" x14ac:dyDescent="0.25">
      <c r="A11" s="561">
        <v>5</v>
      </c>
      <c r="B11" s="578" t="s">
        <v>626</v>
      </c>
      <c r="C11" s="633">
        <v>11860787.104768084</v>
      </c>
      <c r="D11" s="559">
        <v>10925399.770101666</v>
      </c>
      <c r="E11" s="559">
        <v>0</v>
      </c>
      <c r="F11" s="559">
        <v>935387.33466641617</v>
      </c>
      <c r="G11" s="559">
        <v>0</v>
      </c>
      <c r="H11" s="559">
        <v>649369.44049251988</v>
      </c>
      <c r="I11" s="559">
        <v>127938.2451506174</v>
      </c>
      <c r="J11" s="559">
        <v>0</v>
      </c>
      <c r="K11" s="559">
        <v>521431.19534190273</v>
      </c>
      <c r="L11" s="559">
        <v>0</v>
      </c>
    </row>
    <row r="12" spans="1:12" x14ac:dyDescent="0.25">
      <c r="A12" s="561">
        <v>6</v>
      </c>
      <c r="B12" s="578" t="s">
        <v>627</v>
      </c>
      <c r="C12" s="633">
        <v>11951299.108416475</v>
      </c>
      <c r="D12" s="559">
        <v>9892224.8769351114</v>
      </c>
      <c r="E12" s="559">
        <v>1987216.3797629892</v>
      </c>
      <c r="F12" s="559">
        <v>71857.851718372694</v>
      </c>
      <c r="G12" s="559">
        <v>0</v>
      </c>
      <c r="H12" s="559">
        <v>307909.51587341214</v>
      </c>
      <c r="I12" s="559">
        <v>83385.419722197359</v>
      </c>
      <c r="J12" s="559">
        <v>189735.27854913403</v>
      </c>
      <c r="K12" s="559">
        <v>34788.817602081021</v>
      </c>
      <c r="L12" s="559">
        <v>0</v>
      </c>
    </row>
    <row r="13" spans="1:12" x14ac:dyDescent="0.25">
      <c r="A13" s="561">
        <v>7</v>
      </c>
      <c r="B13" s="578" t="s">
        <v>629</v>
      </c>
      <c r="C13" s="633">
        <v>15097971.43995735</v>
      </c>
      <c r="D13" s="559">
        <v>15097971.43995735</v>
      </c>
      <c r="E13" s="559">
        <v>0</v>
      </c>
      <c r="F13" s="559">
        <v>0</v>
      </c>
      <c r="G13" s="559">
        <v>0</v>
      </c>
      <c r="H13" s="559">
        <v>48925.749548719643</v>
      </c>
      <c r="I13" s="559">
        <v>48925.749548719643</v>
      </c>
      <c r="J13" s="559">
        <v>0</v>
      </c>
      <c r="K13" s="559">
        <v>0</v>
      </c>
      <c r="L13" s="559">
        <v>0</v>
      </c>
    </row>
    <row r="14" spans="1:12" x14ac:dyDescent="0.25">
      <c r="A14" s="561">
        <v>8</v>
      </c>
      <c r="B14" s="578" t="s">
        <v>630</v>
      </c>
      <c r="C14" s="633">
        <v>1393197.0737397508</v>
      </c>
      <c r="D14" s="559">
        <v>1381067.2103119784</v>
      </c>
      <c r="E14" s="559">
        <v>5000.762024623803</v>
      </c>
      <c r="F14" s="559">
        <v>7129.1014031485283</v>
      </c>
      <c r="G14" s="559">
        <v>0</v>
      </c>
      <c r="H14" s="559">
        <v>30631.052452911474</v>
      </c>
      <c r="I14" s="559">
        <v>25368.871745689208</v>
      </c>
      <c r="J14" s="559">
        <v>1810.7414775484767</v>
      </c>
      <c r="K14" s="559">
        <v>3451.4392296737942</v>
      </c>
      <c r="L14" s="559">
        <v>0</v>
      </c>
    </row>
    <row r="15" spans="1:12" x14ac:dyDescent="0.25">
      <c r="A15" s="561">
        <v>9</v>
      </c>
      <c r="B15" s="578" t="s">
        <v>631</v>
      </c>
      <c r="C15" s="633">
        <v>811667.33382364595</v>
      </c>
      <c r="D15" s="559">
        <v>811667.33382364595</v>
      </c>
      <c r="E15" s="559">
        <v>0</v>
      </c>
      <c r="F15" s="559">
        <v>0</v>
      </c>
      <c r="G15" s="559">
        <v>0</v>
      </c>
      <c r="H15" s="559">
        <v>13176.177060348489</v>
      </c>
      <c r="I15" s="559">
        <v>13176.177060348489</v>
      </c>
      <c r="J15" s="559">
        <v>0</v>
      </c>
      <c r="K15" s="559">
        <v>0</v>
      </c>
      <c r="L15" s="559">
        <v>0</v>
      </c>
    </row>
    <row r="16" spans="1:12" x14ac:dyDescent="0.25">
      <c r="A16" s="561">
        <v>10</v>
      </c>
      <c r="B16" s="578" t="s">
        <v>632</v>
      </c>
      <c r="C16" s="633">
        <v>1356688.7620936141</v>
      </c>
      <c r="D16" s="559">
        <v>1332405.4820936141</v>
      </c>
      <c r="E16" s="559">
        <v>24283.279999999999</v>
      </c>
      <c r="F16" s="559">
        <v>0</v>
      </c>
      <c r="G16" s="559">
        <v>0</v>
      </c>
      <c r="H16" s="559">
        <v>19672.414156624538</v>
      </c>
      <c r="I16" s="559">
        <v>16603.538871618301</v>
      </c>
      <c r="J16" s="559">
        <v>3068.8752850062424</v>
      </c>
      <c r="K16" s="559">
        <v>0</v>
      </c>
      <c r="L16" s="559">
        <v>0</v>
      </c>
    </row>
    <row r="17" spans="1:12" x14ac:dyDescent="0.25">
      <c r="A17" s="561">
        <v>11</v>
      </c>
      <c r="B17" s="578" t="s">
        <v>633</v>
      </c>
      <c r="C17" s="633">
        <v>960460.17426080105</v>
      </c>
      <c r="D17" s="559">
        <v>959081.15885096497</v>
      </c>
      <c r="E17" s="559">
        <v>0</v>
      </c>
      <c r="F17" s="559">
        <v>1379.0154098360656</v>
      </c>
      <c r="G17" s="559">
        <v>0</v>
      </c>
      <c r="H17" s="559">
        <v>8280.9268473185366</v>
      </c>
      <c r="I17" s="559">
        <v>7613.298823156777</v>
      </c>
      <c r="J17" s="559">
        <v>0</v>
      </c>
      <c r="K17" s="559">
        <v>667.62802416175987</v>
      </c>
      <c r="L17" s="559">
        <v>0</v>
      </c>
    </row>
    <row r="18" spans="1:12" x14ac:dyDescent="0.25">
      <c r="A18" s="561">
        <v>12</v>
      </c>
      <c r="B18" s="578" t="s">
        <v>634</v>
      </c>
      <c r="C18" s="633">
        <v>7775078.2647052221</v>
      </c>
      <c r="D18" s="559">
        <v>7740986.9170345711</v>
      </c>
      <c r="E18" s="559">
        <v>5932.8496092911764</v>
      </c>
      <c r="F18" s="559">
        <v>28158.498061359795</v>
      </c>
      <c r="G18" s="559">
        <v>0</v>
      </c>
      <c r="H18" s="559">
        <v>89983.203580565285</v>
      </c>
      <c r="I18" s="559">
        <v>74772.503584737613</v>
      </c>
      <c r="J18" s="559">
        <v>1578.2182338558123</v>
      </c>
      <c r="K18" s="559">
        <v>13632.481761971912</v>
      </c>
      <c r="L18" s="559">
        <v>0</v>
      </c>
    </row>
    <row r="19" spans="1:12" x14ac:dyDescent="0.25">
      <c r="A19" s="561">
        <v>13</v>
      </c>
      <c r="B19" s="578" t="s">
        <v>635</v>
      </c>
      <c r="C19" s="633">
        <v>1141292.0422972266</v>
      </c>
      <c r="D19" s="559">
        <v>1128146.3471727394</v>
      </c>
      <c r="E19" s="559">
        <v>0</v>
      </c>
      <c r="F19" s="559">
        <v>13145.695124487553</v>
      </c>
      <c r="G19" s="559">
        <v>0</v>
      </c>
      <c r="H19" s="559">
        <v>15898.335509098499</v>
      </c>
      <c r="I19" s="559">
        <v>9534.0596644668403</v>
      </c>
      <c r="J19" s="559">
        <v>0</v>
      </c>
      <c r="K19" s="559">
        <v>6364.275844631662</v>
      </c>
      <c r="L19" s="559">
        <v>0</v>
      </c>
    </row>
    <row r="20" spans="1:12" x14ac:dyDescent="0.25">
      <c r="A20" s="561">
        <v>14</v>
      </c>
      <c r="B20" s="578" t="s">
        <v>636</v>
      </c>
      <c r="C20" s="633">
        <v>4715362.3850692837</v>
      </c>
      <c r="D20" s="559">
        <v>4688341.8137207804</v>
      </c>
      <c r="E20" s="559">
        <v>3427.4235646457264</v>
      </c>
      <c r="F20" s="559">
        <v>23593.147783857734</v>
      </c>
      <c r="G20" s="559">
        <v>0</v>
      </c>
      <c r="H20" s="559">
        <v>73520.934672280098</v>
      </c>
      <c r="I20" s="559">
        <v>60972.88346489134</v>
      </c>
      <c r="J20" s="559">
        <v>1125.810000841393</v>
      </c>
      <c r="K20" s="559">
        <v>11422.241206547387</v>
      </c>
      <c r="L20" s="559">
        <v>0</v>
      </c>
    </row>
    <row r="21" spans="1:12" x14ac:dyDescent="0.25">
      <c r="A21" s="561">
        <v>15</v>
      </c>
      <c r="B21" s="578" t="s">
        <v>637</v>
      </c>
      <c r="C21" s="633">
        <v>4793775.6474581677</v>
      </c>
      <c r="D21" s="559">
        <v>4760037.6019047024</v>
      </c>
      <c r="E21" s="559">
        <v>13890.488343600273</v>
      </c>
      <c r="F21" s="559">
        <v>19847.557209864513</v>
      </c>
      <c r="G21" s="559">
        <v>0</v>
      </c>
      <c r="H21" s="559">
        <v>77302.348522937493</v>
      </c>
      <c r="I21" s="559">
        <v>64534.342650838335</v>
      </c>
      <c r="J21" s="559">
        <v>3159.1318088030653</v>
      </c>
      <c r="K21" s="559">
        <v>9608.8740632960471</v>
      </c>
      <c r="L21" s="559">
        <v>0</v>
      </c>
    </row>
    <row r="22" spans="1:12" x14ac:dyDescent="0.25">
      <c r="A22" s="561">
        <v>16</v>
      </c>
      <c r="B22" s="571" t="s">
        <v>638</v>
      </c>
      <c r="C22" s="633">
        <v>2012119.7488221652</v>
      </c>
      <c r="D22" s="559">
        <v>2012119.7488221652</v>
      </c>
      <c r="E22" s="559">
        <v>0</v>
      </c>
      <c r="F22" s="559">
        <v>0</v>
      </c>
      <c r="G22" s="559">
        <v>0</v>
      </c>
      <c r="H22" s="559">
        <v>32229.889396536746</v>
      </c>
      <c r="I22" s="559">
        <v>32229.889396536746</v>
      </c>
      <c r="J22" s="559">
        <v>0</v>
      </c>
      <c r="K22" s="559">
        <v>0</v>
      </c>
      <c r="L22" s="559">
        <v>0</v>
      </c>
    </row>
    <row r="23" spans="1:12" x14ac:dyDescent="0.25">
      <c r="A23" s="561">
        <v>17</v>
      </c>
      <c r="B23" s="578" t="s">
        <v>639</v>
      </c>
      <c r="C23" s="633">
        <v>119555.28410061919</v>
      </c>
      <c r="D23" s="559">
        <v>106984.92426293391</v>
      </c>
      <c r="E23" s="559">
        <v>3697.0587365277106</v>
      </c>
      <c r="F23" s="559">
        <v>8873.3011011575691</v>
      </c>
      <c r="G23" s="559">
        <v>0</v>
      </c>
      <c r="H23" s="559">
        <v>8051.4560552588482</v>
      </c>
      <c r="I23" s="559">
        <v>2494.2549687635792</v>
      </c>
      <c r="J23" s="559">
        <v>1261.3357613482244</v>
      </c>
      <c r="K23" s="559">
        <v>4295.865325147046</v>
      </c>
      <c r="L23" s="559">
        <v>0</v>
      </c>
    </row>
    <row r="24" spans="1:12" x14ac:dyDescent="0.25">
      <c r="A24" s="561">
        <v>18</v>
      </c>
      <c r="B24" s="578" t="s">
        <v>641</v>
      </c>
      <c r="C24" s="633">
        <v>2009357.0581856044</v>
      </c>
      <c r="D24" s="559">
        <v>2005669.1681856045</v>
      </c>
      <c r="E24" s="559">
        <v>3687.89</v>
      </c>
      <c r="F24" s="559">
        <v>0</v>
      </c>
      <c r="G24" s="559">
        <v>0</v>
      </c>
      <c r="H24" s="559">
        <v>10908.566204849745</v>
      </c>
      <c r="I24" s="559">
        <v>10487.616974981398</v>
      </c>
      <c r="J24" s="559">
        <v>420.94922986834638</v>
      </c>
      <c r="K24" s="559">
        <v>0</v>
      </c>
      <c r="L24" s="559">
        <v>0</v>
      </c>
    </row>
    <row r="25" spans="1:12" x14ac:dyDescent="0.25">
      <c r="A25" s="561">
        <v>19</v>
      </c>
      <c r="B25" s="578" t="s">
        <v>642</v>
      </c>
      <c r="C25" s="633">
        <v>327422.60964493087</v>
      </c>
      <c r="D25" s="559">
        <v>317403.35964493087</v>
      </c>
      <c r="E25" s="559">
        <v>0</v>
      </c>
      <c r="F25" s="559">
        <v>10019.25</v>
      </c>
      <c r="G25" s="559">
        <v>0</v>
      </c>
      <c r="H25" s="559">
        <v>15912.086353840259</v>
      </c>
      <c r="I25" s="559">
        <v>11061.428389200182</v>
      </c>
      <c r="J25" s="559">
        <v>0</v>
      </c>
      <c r="K25" s="559">
        <v>4850.6579646400778</v>
      </c>
      <c r="L25" s="559">
        <v>0</v>
      </c>
    </row>
    <row r="26" spans="1:12" x14ac:dyDescent="0.25">
      <c r="A26" s="561">
        <v>20</v>
      </c>
      <c r="B26" s="578" t="s">
        <v>643</v>
      </c>
      <c r="C26" s="633">
        <v>1375137.4390365665</v>
      </c>
      <c r="D26" s="559">
        <v>1359750.1103781136</v>
      </c>
      <c r="E26" s="559">
        <v>0</v>
      </c>
      <c r="F26" s="559">
        <v>15387.328658453112</v>
      </c>
      <c r="G26" s="559">
        <v>0</v>
      </c>
      <c r="H26" s="559">
        <v>38423.677046379213</v>
      </c>
      <c r="I26" s="559">
        <v>30974.150553711614</v>
      </c>
      <c r="J26" s="559">
        <v>0</v>
      </c>
      <c r="K26" s="559">
        <v>7449.5264926676264</v>
      </c>
      <c r="L26" s="559">
        <v>0</v>
      </c>
    </row>
    <row r="27" spans="1:12" x14ac:dyDescent="0.25">
      <c r="A27" s="561">
        <v>21</v>
      </c>
      <c r="B27" s="578" t="s">
        <v>644</v>
      </c>
      <c r="C27" s="633">
        <v>276383.13156343088</v>
      </c>
      <c r="D27" s="559">
        <v>276341.7115634309</v>
      </c>
      <c r="E27" s="559">
        <v>0</v>
      </c>
      <c r="F27" s="559">
        <v>41.42</v>
      </c>
      <c r="G27" s="559">
        <v>0</v>
      </c>
      <c r="H27" s="559">
        <v>6749.6732264444718</v>
      </c>
      <c r="I27" s="559">
        <v>6729.6204028403708</v>
      </c>
      <c r="J27" s="559">
        <v>0</v>
      </c>
      <c r="K27" s="559">
        <v>20.052823604101309</v>
      </c>
      <c r="L27" s="559">
        <v>0</v>
      </c>
    </row>
    <row r="28" spans="1:12" x14ac:dyDescent="0.25">
      <c r="A28" s="561">
        <v>22</v>
      </c>
      <c r="B28" s="578" t="s">
        <v>645</v>
      </c>
      <c r="C28" s="633">
        <v>2394639.1902459185</v>
      </c>
      <c r="D28" s="559">
        <v>2314979.1588637647</v>
      </c>
      <c r="E28" s="559">
        <v>39098.989207051971</v>
      </c>
      <c r="F28" s="559">
        <v>40561.042175102601</v>
      </c>
      <c r="G28" s="559">
        <v>0</v>
      </c>
      <c r="H28" s="559">
        <v>75434.415402038634</v>
      </c>
      <c r="I28" s="559">
        <v>43757.520505442757</v>
      </c>
      <c r="J28" s="559">
        <v>9907.9398534200463</v>
      </c>
      <c r="K28" s="559">
        <v>21768.955043175858</v>
      </c>
      <c r="L28" s="559">
        <v>0</v>
      </c>
    </row>
    <row r="29" spans="1:12" x14ac:dyDescent="0.25">
      <c r="A29" s="561">
        <v>23</v>
      </c>
      <c r="B29" s="578" t="s">
        <v>646</v>
      </c>
      <c r="C29" s="633">
        <v>21880114.547469188</v>
      </c>
      <c r="D29" s="559">
        <v>20797374.950924672</v>
      </c>
      <c r="E29" s="559">
        <v>771446.05989624956</v>
      </c>
      <c r="F29" s="559">
        <v>311293.53664826066</v>
      </c>
      <c r="G29" s="559">
        <v>0</v>
      </c>
      <c r="H29" s="559">
        <v>793729.39943968609</v>
      </c>
      <c r="I29" s="559">
        <v>428298.07765325467</v>
      </c>
      <c r="J29" s="559">
        <v>186943.56478179383</v>
      </c>
      <c r="K29" s="559">
        <v>178487.75700463689</v>
      </c>
      <c r="L29" s="559">
        <v>0</v>
      </c>
    </row>
    <row r="30" spans="1:12" x14ac:dyDescent="0.25">
      <c r="A30" s="561">
        <v>24</v>
      </c>
      <c r="B30" s="578" t="s">
        <v>647</v>
      </c>
      <c r="C30" s="633">
        <v>3753521.9764034199</v>
      </c>
      <c r="D30" s="559">
        <v>3569665.225745209</v>
      </c>
      <c r="E30" s="559">
        <v>32545.649345079593</v>
      </c>
      <c r="F30" s="559">
        <v>151311.10131313131</v>
      </c>
      <c r="G30" s="559">
        <v>0</v>
      </c>
      <c r="H30" s="559">
        <v>131733.00505533986</v>
      </c>
      <c r="I30" s="559">
        <v>34563.313153170864</v>
      </c>
      <c r="J30" s="559">
        <v>6706.6485482311073</v>
      </c>
      <c r="K30" s="559">
        <v>90463.043353937945</v>
      </c>
      <c r="L30" s="559">
        <v>0</v>
      </c>
    </row>
    <row r="31" spans="1:12" x14ac:dyDescent="0.25">
      <c r="A31" s="561">
        <v>25</v>
      </c>
      <c r="B31" s="578" t="s">
        <v>209</v>
      </c>
      <c r="C31" s="771">
        <v>12481722.809399923</v>
      </c>
      <c r="D31" s="559">
        <v>11302658.880215067</v>
      </c>
      <c r="E31" s="561">
        <v>1089170.9147567053</v>
      </c>
      <c r="F31" s="561">
        <v>89893.014428154464</v>
      </c>
      <c r="G31" s="559">
        <v>0</v>
      </c>
      <c r="H31" s="561">
        <v>260677.36985593507</v>
      </c>
      <c r="I31" s="559">
        <v>152338.17312815582</v>
      </c>
      <c r="J31" s="559">
        <v>64557.034354398522</v>
      </c>
      <c r="K31" s="559">
        <v>43782.162373379309</v>
      </c>
      <c r="L31" s="559">
        <v>0</v>
      </c>
    </row>
    <row r="32" spans="1:12" x14ac:dyDescent="0.25">
      <c r="A32" s="561">
        <v>26</v>
      </c>
      <c r="B32" s="578" t="s">
        <v>734</v>
      </c>
      <c r="C32" s="633">
        <v>0</v>
      </c>
      <c r="D32" s="559">
        <v>0</v>
      </c>
      <c r="E32" s="559">
        <v>0</v>
      </c>
      <c r="F32" s="559">
        <v>0</v>
      </c>
      <c r="G32" s="559">
        <v>0</v>
      </c>
      <c r="H32" s="633">
        <v>0</v>
      </c>
      <c r="I32" s="633">
        <v>0</v>
      </c>
      <c r="J32" s="633">
        <v>0</v>
      </c>
      <c r="K32" s="633">
        <v>0</v>
      </c>
      <c r="L32" s="559">
        <v>0</v>
      </c>
    </row>
    <row r="33" spans="1:12" x14ac:dyDescent="0.25">
      <c r="A33" s="561">
        <v>27</v>
      </c>
      <c r="B33" s="634" t="s">
        <v>88</v>
      </c>
      <c r="C33" s="635">
        <f>SUM(C7:C32)</f>
        <v>132584588.34670447</v>
      </c>
      <c r="D33" s="635">
        <f t="shared" ref="D33:L33" si="0">SUM(D7:D32)</f>
        <v>126813815.65639767</v>
      </c>
      <c r="E33" s="635">
        <f t="shared" si="0"/>
        <v>4038463.3241538145</v>
      </c>
      <c r="F33" s="635">
        <f t="shared" si="0"/>
        <v>1732309.3661530393</v>
      </c>
      <c r="G33" s="635">
        <f t="shared" si="0"/>
        <v>2.9831426218152046E-10</v>
      </c>
      <c r="H33" s="635">
        <f t="shared" si="0"/>
        <v>2949097.4651781726</v>
      </c>
      <c r="I33" s="635">
        <f t="shared" si="0"/>
        <v>1512079.1936606469</v>
      </c>
      <c r="J33" s="635">
        <f t="shared" si="0"/>
        <v>482388.0185009297</v>
      </c>
      <c r="K33" s="635">
        <f t="shared" si="0"/>
        <v>954630.25301659387</v>
      </c>
      <c r="L33" s="635">
        <f t="shared" si="0"/>
        <v>0</v>
      </c>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CD2E-DCF1-4F35-BEAE-398C4B10740A}">
  <dimension ref="A1:M22"/>
  <sheetViews>
    <sheetView showGridLines="0" topLeftCell="E1" zoomScale="130" zoomScaleNormal="130" workbookViewId="0">
      <selection activeCell="A10" sqref="A10"/>
    </sheetView>
  </sheetViews>
  <sheetFormatPr defaultColWidth="8.6640625" defaultRowHeight="12" x14ac:dyDescent="0.25"/>
  <cols>
    <col min="1" max="1" width="11.88671875" style="639" bestFit="1" customWidth="1"/>
    <col min="2" max="2" width="80" style="639" customWidth="1"/>
    <col min="3" max="11" width="20.5546875" style="639" customWidth="1"/>
    <col min="12" max="12" width="12.44140625" style="638" bestFit="1" customWidth="1"/>
    <col min="13" max="13" width="13" style="639" customWidth="1"/>
    <col min="14" max="16384" width="8.6640625" style="639"/>
  </cols>
  <sheetData>
    <row r="1" spans="1:13" s="534" customFormat="1" ht="13.8" x14ac:dyDescent="0.3">
      <c r="A1" s="533" t="s">
        <v>41</v>
      </c>
      <c r="B1" s="22" t="str">
        <f>Info!C2</f>
        <v>სს სილქ ბანკი</v>
      </c>
      <c r="C1" s="552"/>
      <c r="D1" s="552"/>
      <c r="E1" s="552"/>
      <c r="F1" s="552"/>
      <c r="G1" s="552"/>
      <c r="H1" s="552"/>
      <c r="I1" s="552"/>
      <c r="J1" s="552"/>
      <c r="K1" s="552"/>
      <c r="L1" s="574"/>
    </row>
    <row r="2" spans="1:13" s="534" customFormat="1" x14ac:dyDescent="0.25">
      <c r="A2" s="533" t="s">
        <v>42</v>
      </c>
      <c r="B2" s="535">
        <f>'1. key ratios'!B2</f>
        <v>45747</v>
      </c>
      <c r="C2" s="552"/>
      <c r="D2" s="552"/>
      <c r="E2" s="552"/>
      <c r="F2" s="552"/>
      <c r="G2" s="552"/>
      <c r="H2" s="552"/>
      <c r="I2" s="552"/>
      <c r="J2" s="552"/>
      <c r="K2" s="552"/>
      <c r="L2" s="574"/>
    </row>
    <row r="3" spans="1:13" s="534" customFormat="1" x14ac:dyDescent="0.25">
      <c r="A3" s="536" t="s">
        <v>735</v>
      </c>
      <c r="B3" s="552"/>
      <c r="C3" s="552"/>
      <c r="D3" s="552"/>
      <c r="E3" s="552"/>
      <c r="F3" s="552"/>
      <c r="G3" s="552"/>
      <c r="H3" s="552"/>
      <c r="I3" s="552"/>
      <c r="J3" s="552"/>
      <c r="K3" s="552"/>
      <c r="L3" s="574"/>
    </row>
    <row r="4" spans="1:13" ht="40.5" customHeight="1" x14ac:dyDescent="0.25">
      <c r="A4" s="636"/>
      <c r="B4" s="636"/>
      <c r="C4" s="637"/>
      <c r="D4" s="637"/>
      <c r="E4" s="637"/>
      <c r="F4" s="637"/>
      <c r="G4" s="637"/>
      <c r="H4" s="637"/>
      <c r="I4" s="637"/>
      <c r="J4" s="637"/>
      <c r="K4" s="637"/>
    </row>
    <row r="5" spans="1:13" ht="114" customHeight="1" x14ac:dyDescent="0.25">
      <c r="A5" s="934" t="s">
        <v>736</v>
      </c>
      <c r="B5" s="935"/>
      <c r="C5" s="595" t="s">
        <v>737</v>
      </c>
      <c r="D5" s="595" t="s">
        <v>738</v>
      </c>
      <c r="E5" s="595" t="s">
        <v>739</v>
      </c>
      <c r="F5" s="595" t="s">
        <v>740</v>
      </c>
      <c r="G5" s="595" t="s">
        <v>741</v>
      </c>
      <c r="H5" s="595" t="s">
        <v>742</v>
      </c>
      <c r="I5" s="595" t="s">
        <v>743</v>
      </c>
      <c r="J5" s="595" t="s">
        <v>744</v>
      </c>
      <c r="K5" s="595" t="s">
        <v>745</v>
      </c>
    </row>
    <row r="6" spans="1:13" x14ac:dyDescent="0.25">
      <c r="A6" s="561">
        <v>1</v>
      </c>
      <c r="B6" s="561" t="s">
        <v>746</v>
      </c>
      <c r="C6" s="559">
        <v>10596525.874466278</v>
      </c>
      <c r="D6" s="559"/>
      <c r="E6" s="559"/>
      <c r="F6" s="559"/>
      <c r="G6" s="559">
        <v>92661378.951280221</v>
      </c>
      <c r="H6" s="559"/>
      <c r="I6" s="560">
        <v>12640303.445901301</v>
      </c>
      <c r="J6" s="560">
        <v>0</v>
      </c>
      <c r="K6" s="560">
        <f>'23. LTV'!C8-J6-I6-G6-C6</f>
        <v>16686380.075056829</v>
      </c>
      <c r="L6" s="640"/>
      <c r="M6" s="641"/>
    </row>
    <row r="7" spans="1:13" x14ac:dyDescent="0.25">
      <c r="A7" s="561">
        <v>2</v>
      </c>
      <c r="B7" s="561" t="s">
        <v>747</v>
      </c>
      <c r="C7" s="559"/>
      <c r="D7" s="559"/>
      <c r="E7" s="559"/>
      <c r="F7" s="559"/>
      <c r="G7" s="559"/>
      <c r="H7" s="559"/>
      <c r="I7" s="559"/>
      <c r="J7" s="559"/>
      <c r="K7" s="559"/>
    </row>
    <row r="8" spans="1:13" x14ac:dyDescent="0.25">
      <c r="A8" s="561">
        <v>3</v>
      </c>
      <c r="B8" s="561" t="s">
        <v>700</v>
      </c>
      <c r="C8" s="559">
        <v>1505303.28</v>
      </c>
      <c r="D8" s="559"/>
      <c r="E8" s="559"/>
      <c r="F8" s="559"/>
      <c r="G8" s="642">
        <f>'4. Off-balance'!E27+'4. Off-balance'!E28-C8-I8-K8</f>
        <v>15449948.029999999</v>
      </c>
      <c r="H8" s="559"/>
      <c r="I8" s="559">
        <v>760048.08</v>
      </c>
      <c r="J8" s="559"/>
      <c r="K8" s="643">
        <v>5986579.9300000016</v>
      </c>
      <c r="L8" s="640"/>
      <c r="M8" s="644"/>
    </row>
    <row r="9" spans="1:13" x14ac:dyDescent="0.25">
      <c r="A9" s="561">
        <v>4</v>
      </c>
      <c r="B9" s="587" t="s">
        <v>748</v>
      </c>
      <c r="C9" s="645"/>
      <c r="D9" s="645"/>
      <c r="E9" s="645"/>
      <c r="F9" s="645"/>
      <c r="G9" s="645">
        <v>1287168.1252090519</v>
      </c>
      <c r="H9" s="645"/>
      <c r="I9" s="645">
        <v>0</v>
      </c>
      <c r="J9" s="646"/>
      <c r="K9" s="645">
        <v>445141.24094398669</v>
      </c>
      <c r="L9" s="647"/>
    </row>
    <row r="10" spans="1:13" x14ac:dyDescent="0.25">
      <c r="A10" s="561">
        <v>5</v>
      </c>
      <c r="B10" s="587" t="s">
        <v>749</v>
      </c>
      <c r="C10" s="645"/>
      <c r="D10" s="645"/>
      <c r="E10" s="645"/>
      <c r="F10" s="645"/>
      <c r="G10" s="645"/>
      <c r="H10" s="645"/>
      <c r="I10" s="645"/>
      <c r="J10" s="645"/>
      <c r="K10" s="645"/>
      <c r="L10" s="640"/>
    </row>
    <row r="11" spans="1:13" x14ac:dyDescent="0.25">
      <c r="A11" s="561">
        <v>6</v>
      </c>
      <c r="B11" s="587" t="s">
        <v>750</v>
      </c>
      <c r="C11" s="645"/>
      <c r="D11" s="645"/>
      <c r="E11" s="645"/>
      <c r="F11" s="645"/>
      <c r="G11" s="645"/>
      <c r="H11" s="645"/>
      <c r="I11" s="645"/>
      <c r="J11" s="645"/>
      <c r="K11" s="645"/>
    </row>
    <row r="13" spans="1:13" ht="13.8" x14ac:dyDescent="0.3">
      <c r="B13" s="648"/>
      <c r="G13" s="649"/>
    </row>
    <row r="14" spans="1:13" x14ac:dyDescent="0.25">
      <c r="G14" s="649"/>
    </row>
    <row r="15" spans="1:13" x14ac:dyDescent="0.25">
      <c r="G15" s="644"/>
    </row>
    <row r="20" spans="2:7" x14ac:dyDescent="0.25">
      <c r="C20" s="644"/>
      <c r="G20" s="644"/>
    </row>
    <row r="22" spans="2:7" x14ac:dyDescent="0.25">
      <c r="B22" s="650"/>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18CB-FAE7-47B5-A142-296EAAF68986}">
  <dimension ref="A1:BP26"/>
  <sheetViews>
    <sheetView showGridLines="0" topLeftCell="B1" zoomScaleNormal="100" workbookViewId="0">
      <pane xSplit="2" topLeftCell="D1" activePane="topRight" state="frozen"/>
      <selection activeCell="C2" sqref="C2:C5"/>
      <selection pane="topRight" activeCell="U22" sqref="U22"/>
    </sheetView>
  </sheetViews>
  <sheetFormatPr defaultColWidth="8.6640625" defaultRowHeight="14.4" x14ac:dyDescent="0.3"/>
  <cols>
    <col min="1" max="1" width="8.6640625" style="651"/>
    <col min="2" max="2" width="13.6640625" style="651" customWidth="1"/>
    <col min="3" max="3" width="56.44140625" style="651" customWidth="1"/>
    <col min="4" max="4" width="17.33203125" style="651" customWidth="1"/>
    <col min="5" max="5" width="15.88671875" style="651" bestFit="1" customWidth="1"/>
    <col min="6" max="7" width="14.88671875" style="651" customWidth="1"/>
    <col min="8" max="8" width="23" style="651" customWidth="1"/>
    <col min="9" max="9" width="16.5546875" style="651" customWidth="1"/>
    <col min="10" max="10" width="17.44140625" style="651" customWidth="1"/>
    <col min="11" max="11" width="16.44140625" style="651" customWidth="1"/>
    <col min="12" max="12" width="25.109375" style="651" customWidth="1"/>
    <col min="13" max="13" width="22.109375" style="651" customWidth="1"/>
    <col min="14" max="14" width="12.88671875" style="651" customWidth="1"/>
    <col min="15" max="15" width="15.109375" style="651" bestFit="1" customWidth="1"/>
    <col min="16" max="16" width="14.109375" style="651" customWidth="1"/>
    <col min="17" max="17" width="14.33203125" style="651" customWidth="1"/>
    <col min="18" max="18" width="25.6640625" style="651" customWidth="1"/>
    <col min="19" max="19" width="10.6640625" style="651" customWidth="1"/>
    <col min="20" max="20" width="19.33203125" style="651" customWidth="1"/>
    <col min="21" max="21" width="23.33203125" style="651" customWidth="1"/>
    <col min="22" max="22" width="21.88671875" style="651" customWidth="1"/>
    <col min="23" max="23" width="21" style="651" customWidth="1"/>
    <col min="24" max="16384" width="8.6640625" style="651"/>
  </cols>
  <sheetData>
    <row r="1" spans="1:68" x14ac:dyDescent="0.3">
      <c r="B1" s="533" t="s">
        <v>41</v>
      </c>
      <c r="C1" s="22" t="str">
        <f>Info!C2</f>
        <v>სს სილქ ბანკი</v>
      </c>
    </row>
    <row r="2" spans="1:68" x14ac:dyDescent="0.3">
      <c r="B2" s="533" t="s">
        <v>42</v>
      </c>
      <c r="C2" s="535">
        <f>'1. key ratios'!B2</f>
        <v>45747</v>
      </c>
    </row>
    <row r="3" spans="1:68" x14ac:dyDescent="0.3">
      <c r="B3" s="536" t="s">
        <v>751</v>
      </c>
      <c r="C3" s="552"/>
    </row>
    <row r="4" spans="1:68" ht="40.5" customHeight="1" x14ac:dyDescent="0.3">
      <c r="B4" s="536"/>
      <c r="C4" s="552"/>
    </row>
    <row r="5" spans="1:68" ht="24" customHeight="1" x14ac:dyDescent="0.3">
      <c r="B5" s="937" t="s">
        <v>752</v>
      </c>
      <c r="C5" s="937"/>
      <c r="D5" s="938" t="s">
        <v>753</v>
      </c>
      <c r="E5" s="938"/>
      <c r="F5" s="938"/>
      <c r="G5" s="938"/>
      <c r="H5" s="938"/>
      <c r="I5" s="938" t="s">
        <v>607</v>
      </c>
      <c r="J5" s="938"/>
      <c r="K5" s="938"/>
      <c r="L5" s="938"/>
      <c r="M5" s="938"/>
      <c r="N5" s="938" t="s">
        <v>608</v>
      </c>
      <c r="O5" s="938"/>
      <c r="P5" s="938"/>
      <c r="Q5" s="938"/>
      <c r="R5" s="938"/>
      <c r="S5" s="936" t="s">
        <v>754</v>
      </c>
      <c r="T5" s="936" t="s">
        <v>755</v>
      </c>
      <c r="U5" s="936" t="s">
        <v>756</v>
      </c>
      <c r="V5" s="936" t="s">
        <v>757</v>
      </c>
      <c r="W5" s="936" t="s">
        <v>758</v>
      </c>
    </row>
    <row r="6" spans="1:68" ht="45" customHeight="1" x14ac:dyDescent="0.3">
      <c r="B6" s="937"/>
      <c r="C6" s="937"/>
      <c r="D6" s="652"/>
      <c r="E6" s="556" t="s">
        <v>682</v>
      </c>
      <c r="F6" s="556" t="s">
        <v>683</v>
      </c>
      <c r="G6" s="556" t="s">
        <v>684</v>
      </c>
      <c r="H6" s="556" t="s">
        <v>685</v>
      </c>
      <c r="I6" s="652"/>
      <c r="J6" s="556" t="s">
        <v>682</v>
      </c>
      <c r="K6" s="556" t="s">
        <v>683</v>
      </c>
      <c r="L6" s="556" t="s">
        <v>684</v>
      </c>
      <c r="M6" s="556" t="s">
        <v>685</v>
      </c>
      <c r="N6" s="652"/>
      <c r="O6" s="556" t="s">
        <v>682</v>
      </c>
      <c r="P6" s="556" t="s">
        <v>683</v>
      </c>
      <c r="Q6" s="556" t="s">
        <v>684</v>
      </c>
      <c r="R6" s="556" t="s">
        <v>685</v>
      </c>
      <c r="S6" s="936"/>
      <c r="T6" s="936"/>
      <c r="U6" s="936"/>
      <c r="V6" s="936"/>
      <c r="W6" s="936"/>
    </row>
    <row r="7" spans="1:68" x14ac:dyDescent="0.3">
      <c r="B7" s="653">
        <v>1</v>
      </c>
      <c r="C7" s="654" t="s">
        <v>759</v>
      </c>
      <c r="D7" s="655">
        <f t="shared" ref="D7:D19" si="0">E7+F7+G7</f>
        <v>1512225.17</v>
      </c>
      <c r="E7" s="645">
        <v>1479347.63</v>
      </c>
      <c r="F7" s="645">
        <v>32877.54</v>
      </c>
      <c r="G7" s="645">
        <v>0</v>
      </c>
      <c r="H7" s="645"/>
      <c r="I7" s="645">
        <f t="shared" ref="I7:I18" si="1">SUM(J7:M7)</f>
        <v>1532868.27</v>
      </c>
      <c r="J7" s="645">
        <v>1499379.59</v>
      </c>
      <c r="K7" s="645">
        <v>33488.68</v>
      </c>
      <c r="L7" s="645">
        <v>0</v>
      </c>
      <c r="M7" s="645"/>
      <c r="N7" s="645">
        <f t="shared" ref="N7:N18" si="2">O7+P7+Q7</f>
        <v>63324.051599999999</v>
      </c>
      <c r="O7" s="645">
        <v>59975.183599999997</v>
      </c>
      <c r="P7" s="645">
        <v>3348.8679999999999</v>
      </c>
      <c r="Q7" s="645">
        <v>0</v>
      </c>
      <c r="R7" s="645">
        <v>0</v>
      </c>
      <c r="S7" s="656">
        <v>116</v>
      </c>
      <c r="T7" s="657">
        <v>0.32758526430108698</v>
      </c>
      <c r="U7" s="657">
        <v>0.38641546988548198</v>
      </c>
      <c r="V7" s="657">
        <v>0.316835448420687</v>
      </c>
      <c r="W7" s="646">
        <v>35.253451496909001</v>
      </c>
    </row>
    <row r="8" spans="1:68" x14ac:dyDescent="0.3">
      <c r="B8" s="653">
        <v>2</v>
      </c>
      <c r="C8" s="658" t="s">
        <v>628</v>
      </c>
      <c r="D8" s="655">
        <f t="shared" si="0"/>
        <v>36666418.309999995</v>
      </c>
      <c r="E8" s="645">
        <v>35364282.539999999</v>
      </c>
      <c r="F8" s="645">
        <v>683022.69</v>
      </c>
      <c r="G8" s="645">
        <v>619113.07999999996</v>
      </c>
      <c r="H8" s="645"/>
      <c r="I8" s="645">
        <f t="shared" si="1"/>
        <v>36787702.721919298</v>
      </c>
      <c r="J8" s="645">
        <v>35457683.243738897</v>
      </c>
      <c r="K8" s="645">
        <v>693331.99674560002</v>
      </c>
      <c r="L8" s="645">
        <v>636687.48143479996</v>
      </c>
      <c r="M8" s="645"/>
      <c r="N8" s="645">
        <f t="shared" si="2"/>
        <v>1272666.0470341169</v>
      </c>
      <c r="O8" s="645">
        <v>786960.61079680698</v>
      </c>
      <c r="P8" s="645">
        <v>144500.51915425999</v>
      </c>
      <c r="Q8" s="645">
        <v>341204.91708305001</v>
      </c>
      <c r="R8" s="645"/>
      <c r="S8" s="656">
        <v>5193</v>
      </c>
      <c r="T8" s="657">
        <v>0.24093432653177399</v>
      </c>
      <c r="U8" s="657">
        <v>0.28640753050135398</v>
      </c>
      <c r="V8" s="657">
        <v>0.20702453585618699</v>
      </c>
      <c r="W8" s="646">
        <v>50.725260963266301</v>
      </c>
    </row>
    <row r="9" spans="1:68" x14ac:dyDescent="0.3">
      <c r="B9" s="653">
        <v>3</v>
      </c>
      <c r="C9" s="658" t="s">
        <v>760</v>
      </c>
      <c r="D9" s="655">
        <f t="shared" si="0"/>
        <v>9762.65</v>
      </c>
      <c r="E9" s="645">
        <v>8311.23</v>
      </c>
      <c r="F9" s="645">
        <v>0</v>
      </c>
      <c r="G9" s="645">
        <v>1451.42</v>
      </c>
      <c r="H9" s="645"/>
      <c r="I9" s="645">
        <f t="shared" si="1"/>
        <v>9787.2000000000007</v>
      </c>
      <c r="J9" s="645">
        <v>8335.7800000000007</v>
      </c>
      <c r="K9" s="645">
        <v>0</v>
      </c>
      <c r="L9" s="645">
        <v>1451.42</v>
      </c>
      <c r="M9" s="645"/>
      <c r="N9" s="645">
        <f t="shared" si="2"/>
        <v>1165.193338887</v>
      </c>
      <c r="O9" s="645">
        <v>462.51180258699998</v>
      </c>
      <c r="P9" s="645">
        <v>0</v>
      </c>
      <c r="Q9" s="645">
        <v>702.68153629999995</v>
      </c>
      <c r="R9" s="645"/>
      <c r="S9" s="656">
        <v>34</v>
      </c>
      <c r="T9" s="657">
        <v>0</v>
      </c>
      <c r="U9" s="657">
        <v>0</v>
      </c>
      <c r="V9" s="657">
        <v>0.35</v>
      </c>
      <c r="W9" s="646">
        <v>1.2326230101497799</v>
      </c>
    </row>
    <row r="10" spans="1:68" x14ac:dyDescent="0.3">
      <c r="B10" s="653">
        <v>4</v>
      </c>
      <c r="C10" s="658" t="s">
        <v>761</v>
      </c>
      <c r="D10" s="655">
        <f t="shared" si="0"/>
        <v>5903.21</v>
      </c>
      <c r="E10" s="645">
        <v>5903.21</v>
      </c>
      <c r="F10" s="645">
        <v>0</v>
      </c>
      <c r="G10" s="645">
        <v>0</v>
      </c>
      <c r="H10" s="645"/>
      <c r="I10" s="645">
        <f t="shared" si="1"/>
        <v>5549.323394</v>
      </c>
      <c r="J10" s="645">
        <v>5549.323394</v>
      </c>
      <c r="K10" s="645">
        <v>0</v>
      </c>
      <c r="L10" s="645">
        <v>0</v>
      </c>
      <c r="M10" s="645"/>
      <c r="N10" s="645">
        <f t="shared" si="2"/>
        <v>54.338521626999999</v>
      </c>
      <c r="O10" s="645">
        <v>54.338521626999999</v>
      </c>
      <c r="P10" s="645">
        <v>0</v>
      </c>
      <c r="Q10" s="645">
        <v>0</v>
      </c>
      <c r="R10" s="645"/>
      <c r="S10" s="656">
        <v>4</v>
      </c>
      <c r="T10" s="657">
        <v>0</v>
      </c>
      <c r="U10" s="657">
        <v>0</v>
      </c>
      <c r="V10" s="657">
        <v>0.28000000000000003</v>
      </c>
      <c r="W10" s="646">
        <v>21.001447348137699</v>
      </c>
    </row>
    <row r="11" spans="1:68" x14ac:dyDescent="0.3">
      <c r="B11" s="653">
        <v>5</v>
      </c>
      <c r="C11" s="658" t="s">
        <v>762</v>
      </c>
      <c r="D11" s="655">
        <f t="shared" si="0"/>
        <v>22552.720000000001</v>
      </c>
      <c r="E11" s="645">
        <v>22549.48</v>
      </c>
      <c r="F11" s="645">
        <v>0</v>
      </c>
      <c r="G11" s="645">
        <v>3.24</v>
      </c>
      <c r="H11" s="645"/>
      <c r="I11" s="645">
        <f t="shared" si="1"/>
        <v>23574.15</v>
      </c>
      <c r="J11" s="645">
        <v>23568.890000000003</v>
      </c>
      <c r="K11" s="645">
        <v>0</v>
      </c>
      <c r="L11" s="645">
        <v>5.26</v>
      </c>
      <c r="M11" s="645"/>
      <c r="N11" s="645">
        <f t="shared" si="2"/>
        <v>233.33119073300003</v>
      </c>
      <c r="O11" s="645">
        <v>230.78464674100002</v>
      </c>
      <c r="P11" s="645">
        <v>0</v>
      </c>
      <c r="Q11" s="645">
        <v>2.5465439920000001</v>
      </c>
      <c r="R11" s="645"/>
      <c r="S11" s="656">
        <v>68</v>
      </c>
      <c r="T11" s="657">
        <v>0.48</v>
      </c>
      <c r="U11" s="657">
        <v>0</v>
      </c>
      <c r="V11" s="657">
        <v>0.17526010632588401</v>
      </c>
      <c r="W11" s="646">
        <v>8.7872956698617397</v>
      </c>
    </row>
    <row r="12" spans="1:68" x14ac:dyDescent="0.3">
      <c r="B12" s="653">
        <v>6</v>
      </c>
      <c r="C12" s="658" t="s">
        <v>763</v>
      </c>
      <c r="D12" s="655">
        <f t="shared" si="0"/>
        <v>3358871.2800000003</v>
      </c>
      <c r="E12" s="645">
        <v>3318634.64</v>
      </c>
      <c r="F12" s="645">
        <v>27100.29</v>
      </c>
      <c r="G12" s="645">
        <v>13136.35</v>
      </c>
      <c r="H12" s="645"/>
      <c r="I12" s="645">
        <f t="shared" si="1"/>
        <v>3344341.9316205499</v>
      </c>
      <c r="J12" s="645">
        <v>3301421.4716205499</v>
      </c>
      <c r="K12" s="645">
        <v>28480.799999999999</v>
      </c>
      <c r="L12" s="645">
        <v>14439.66</v>
      </c>
      <c r="M12" s="645"/>
      <c r="N12" s="645">
        <f t="shared" si="2"/>
        <v>58984.880248774993</v>
      </c>
      <c r="O12" s="645">
        <v>44010.616587404998</v>
      </c>
      <c r="P12" s="645">
        <v>8323.5618499299999</v>
      </c>
      <c r="Q12" s="645">
        <v>6650.7018114399998</v>
      </c>
      <c r="R12" s="645"/>
      <c r="S12" s="656">
        <v>2537</v>
      </c>
      <c r="T12" s="657">
        <v>0.36</v>
      </c>
      <c r="U12" s="657">
        <v>0.44900000000000001</v>
      </c>
      <c r="V12" s="657">
        <v>0.35776539522526701</v>
      </c>
      <c r="W12" s="646">
        <v>44.4241231253732</v>
      </c>
    </row>
    <row r="13" spans="1:68" x14ac:dyDescent="0.3">
      <c r="B13" s="653">
        <v>7</v>
      </c>
      <c r="C13" s="658" t="s">
        <v>764</v>
      </c>
      <c r="D13" s="655">
        <f t="shared" si="0"/>
        <v>7760948.4100000001</v>
      </c>
      <c r="E13" s="645">
        <v>7184693.8799999999</v>
      </c>
      <c r="F13" s="645">
        <v>295370.90999999997</v>
      </c>
      <c r="G13" s="645">
        <v>280883.62</v>
      </c>
      <c r="H13" s="645"/>
      <c r="I13" s="645">
        <f t="shared" si="1"/>
        <v>7793263.0538800005</v>
      </c>
      <c r="J13" s="645">
        <v>7199943.6921800002</v>
      </c>
      <c r="K13" s="645">
        <v>301040.68459999998</v>
      </c>
      <c r="L13" s="645">
        <v>292278.67709999997</v>
      </c>
      <c r="M13" s="645"/>
      <c r="N13" s="645">
        <f t="shared" si="2"/>
        <v>423889.94177020004</v>
      </c>
      <c r="O13" s="645">
        <v>165898.60398019999</v>
      </c>
      <c r="P13" s="645">
        <v>93723.284190000006</v>
      </c>
      <c r="Q13" s="645">
        <v>164268.05360000001</v>
      </c>
      <c r="R13" s="645"/>
      <c r="S13" s="656">
        <v>50</v>
      </c>
      <c r="T13" s="657">
        <v>0.12850893365277699</v>
      </c>
      <c r="U13" s="657">
        <v>0.138290135568678</v>
      </c>
      <c r="V13" s="657">
        <v>0.13402705444346499</v>
      </c>
      <c r="W13" s="646">
        <v>148.876718282295</v>
      </c>
    </row>
    <row r="14" spans="1:68" s="659" customFormat="1" x14ac:dyDescent="0.3">
      <c r="A14" s="659" t="s">
        <v>625</v>
      </c>
      <c r="B14" s="665">
        <v>7.1</v>
      </c>
      <c r="C14" s="666" t="s">
        <v>765</v>
      </c>
      <c r="D14" s="655">
        <f t="shared" si="0"/>
        <v>5580283.9900000002</v>
      </c>
      <c r="E14" s="645">
        <v>5004029.46</v>
      </c>
      <c r="F14" s="645">
        <v>295370.90999999997</v>
      </c>
      <c r="G14" s="645">
        <v>280883.62</v>
      </c>
      <c r="H14" s="645"/>
      <c r="I14" s="645">
        <f t="shared" si="1"/>
        <v>5610654.0101500005</v>
      </c>
      <c r="J14" s="645">
        <v>5017334.6484500002</v>
      </c>
      <c r="K14" s="645">
        <v>301040.68459999998</v>
      </c>
      <c r="L14" s="645">
        <v>292278.67709999997</v>
      </c>
      <c r="M14" s="645"/>
      <c r="N14" s="645">
        <f t="shared" si="2"/>
        <v>367549.15046709997</v>
      </c>
      <c r="O14" s="645">
        <v>109557.8126771</v>
      </c>
      <c r="P14" s="645">
        <v>93723.284190000006</v>
      </c>
      <c r="Q14" s="645">
        <v>164268.05360000001</v>
      </c>
      <c r="R14" s="645"/>
      <c r="S14" s="656">
        <v>29</v>
      </c>
      <c r="T14" s="657">
        <v>0.124808060568447</v>
      </c>
      <c r="U14" s="657">
        <v>0.13430935892051099</v>
      </c>
      <c r="V14" s="657">
        <v>0.134002093909561</v>
      </c>
      <c r="W14" s="646">
        <v>143.851433658307</v>
      </c>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51"/>
      <c r="AZ14" s="651"/>
      <c r="BA14" s="651"/>
      <c r="BB14" s="651"/>
      <c r="BC14" s="651"/>
      <c r="BD14" s="651"/>
      <c r="BE14" s="651"/>
      <c r="BF14" s="651"/>
      <c r="BG14" s="651"/>
      <c r="BH14" s="651"/>
      <c r="BI14" s="651"/>
      <c r="BJ14" s="651"/>
      <c r="BK14" s="651"/>
      <c r="BL14" s="651"/>
      <c r="BM14" s="651"/>
      <c r="BN14" s="651"/>
      <c r="BO14" s="651"/>
      <c r="BP14" s="651"/>
    </row>
    <row r="15" spans="1:68" s="659" customFormat="1" ht="24" x14ac:dyDescent="0.3">
      <c r="A15" s="659" t="s">
        <v>766</v>
      </c>
      <c r="B15" s="665">
        <v>7.2</v>
      </c>
      <c r="C15" s="666" t="s">
        <v>767</v>
      </c>
      <c r="D15" s="655">
        <f t="shared" si="0"/>
        <v>1733453.96</v>
      </c>
      <c r="E15" s="645">
        <v>1733453.96</v>
      </c>
      <c r="F15" s="645">
        <v>0</v>
      </c>
      <c r="G15" s="645">
        <v>0</v>
      </c>
      <c r="H15" s="645"/>
      <c r="I15" s="645">
        <f t="shared" si="1"/>
        <v>1736847.67606</v>
      </c>
      <c r="J15" s="645">
        <v>1736847.67606</v>
      </c>
      <c r="K15" s="645">
        <v>0</v>
      </c>
      <c r="L15" s="645">
        <v>0</v>
      </c>
      <c r="M15" s="645"/>
      <c r="N15" s="645">
        <f t="shared" si="2"/>
        <v>47791.749944199997</v>
      </c>
      <c r="O15" s="645">
        <v>47791.749944199997</v>
      </c>
      <c r="P15" s="645">
        <v>0</v>
      </c>
      <c r="Q15" s="645">
        <v>0</v>
      </c>
      <c r="R15" s="645"/>
      <c r="S15" s="656">
        <v>14</v>
      </c>
      <c r="T15" s="657">
        <v>0.14178003594376301</v>
      </c>
      <c r="U15" s="657">
        <v>0.15268192103912601</v>
      </c>
      <c r="V15" s="657">
        <v>0.13670289172837299</v>
      </c>
      <c r="W15" s="646">
        <v>172.35173943241</v>
      </c>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c r="BA15" s="651"/>
      <c r="BB15" s="651"/>
      <c r="BC15" s="651"/>
      <c r="BD15" s="651"/>
      <c r="BE15" s="651"/>
      <c r="BF15" s="651"/>
      <c r="BG15" s="651"/>
      <c r="BH15" s="651"/>
      <c r="BI15" s="651"/>
      <c r="BJ15" s="651"/>
      <c r="BK15" s="651"/>
      <c r="BL15" s="651"/>
      <c r="BM15" s="651"/>
      <c r="BN15" s="651"/>
      <c r="BO15" s="651"/>
      <c r="BP15" s="651"/>
    </row>
    <row r="16" spans="1:68" s="659" customFormat="1" x14ac:dyDescent="0.3">
      <c r="A16" s="660" t="s">
        <v>768</v>
      </c>
      <c r="B16" s="665">
        <v>7.3</v>
      </c>
      <c r="C16" s="666" t="s">
        <v>769</v>
      </c>
      <c r="D16" s="655">
        <f t="shared" si="0"/>
        <v>447210.46</v>
      </c>
      <c r="E16" s="645">
        <v>447210.46</v>
      </c>
      <c r="F16" s="645">
        <v>0</v>
      </c>
      <c r="G16" s="645">
        <v>0</v>
      </c>
      <c r="H16" s="645"/>
      <c r="I16" s="645">
        <f t="shared" si="1"/>
        <v>445761.36766999995</v>
      </c>
      <c r="J16" s="645">
        <v>445761.36766999995</v>
      </c>
      <c r="K16" s="645">
        <v>0</v>
      </c>
      <c r="L16" s="645">
        <v>0</v>
      </c>
      <c r="M16" s="645"/>
      <c r="N16" s="645">
        <f t="shared" si="2"/>
        <v>8549.0413589</v>
      </c>
      <c r="O16" s="645">
        <v>8549.0413589</v>
      </c>
      <c r="P16" s="645">
        <v>0</v>
      </c>
      <c r="Q16" s="645">
        <v>0</v>
      </c>
      <c r="R16" s="645"/>
      <c r="S16" s="656">
        <v>7</v>
      </c>
      <c r="T16" s="657">
        <v>0.1</v>
      </c>
      <c r="U16" s="657">
        <v>0.107</v>
      </c>
      <c r="V16" s="657">
        <v>0.123966570012696</v>
      </c>
      <c r="W16" s="646">
        <v>120.589470615244</v>
      </c>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c r="BA16" s="651"/>
      <c r="BB16" s="651"/>
      <c r="BC16" s="651"/>
      <c r="BD16" s="651"/>
      <c r="BE16" s="651"/>
      <c r="BF16" s="651"/>
      <c r="BG16" s="651"/>
      <c r="BH16" s="651"/>
      <c r="BI16" s="651"/>
      <c r="BJ16" s="651"/>
      <c r="BK16" s="651"/>
      <c r="BL16" s="651"/>
      <c r="BM16" s="651"/>
      <c r="BN16" s="651"/>
      <c r="BO16" s="651"/>
      <c r="BP16" s="651"/>
    </row>
    <row r="17" spans="1:23" x14ac:dyDescent="0.3">
      <c r="A17" s="651" t="s">
        <v>770</v>
      </c>
      <c r="B17" s="653">
        <v>8</v>
      </c>
      <c r="C17" s="658" t="s">
        <v>771</v>
      </c>
      <c r="D17" s="655">
        <f t="shared" si="0"/>
        <v>0</v>
      </c>
      <c r="E17" s="645">
        <v>0</v>
      </c>
      <c r="F17" s="645">
        <v>0</v>
      </c>
      <c r="G17" s="645">
        <v>0</v>
      </c>
      <c r="H17" s="645"/>
      <c r="I17" s="645">
        <f t="shared" si="1"/>
        <v>0</v>
      </c>
      <c r="J17" s="645">
        <v>0</v>
      </c>
      <c r="K17" s="645">
        <v>0</v>
      </c>
      <c r="L17" s="645">
        <v>0</v>
      </c>
      <c r="M17" s="645"/>
      <c r="N17" s="645">
        <f t="shared" si="2"/>
        <v>0</v>
      </c>
      <c r="O17" s="645">
        <v>0</v>
      </c>
      <c r="P17" s="645">
        <v>0</v>
      </c>
      <c r="Q17" s="645">
        <v>0</v>
      </c>
      <c r="R17" s="645"/>
      <c r="S17" s="656">
        <v>0</v>
      </c>
      <c r="T17" s="657">
        <v>0</v>
      </c>
      <c r="U17" s="657">
        <v>0</v>
      </c>
      <c r="V17" s="657">
        <v>0</v>
      </c>
      <c r="W17" s="646">
        <v>0</v>
      </c>
    </row>
    <row r="18" spans="1:23" x14ac:dyDescent="0.3">
      <c r="B18" s="661">
        <v>9</v>
      </c>
      <c r="C18" s="662" t="s">
        <v>772</v>
      </c>
      <c r="D18" s="655">
        <f t="shared" si="0"/>
        <v>0</v>
      </c>
      <c r="E18" s="645">
        <v>0</v>
      </c>
      <c r="F18" s="645">
        <v>0</v>
      </c>
      <c r="G18" s="645">
        <v>0</v>
      </c>
      <c r="H18" s="663"/>
      <c r="I18" s="645">
        <f t="shared" si="1"/>
        <v>0</v>
      </c>
      <c r="J18" s="645">
        <v>0</v>
      </c>
      <c r="K18" s="645">
        <v>0</v>
      </c>
      <c r="L18" s="645">
        <v>0</v>
      </c>
      <c r="M18" s="663"/>
      <c r="N18" s="645">
        <f t="shared" si="2"/>
        <v>0</v>
      </c>
      <c r="O18" s="645">
        <v>0</v>
      </c>
      <c r="P18" s="645">
        <v>0</v>
      </c>
      <c r="Q18" s="645">
        <v>0</v>
      </c>
      <c r="R18" s="663"/>
      <c r="S18" s="656">
        <v>0</v>
      </c>
      <c r="T18" s="657">
        <v>0</v>
      </c>
      <c r="U18" s="657">
        <v>0</v>
      </c>
      <c r="V18" s="657">
        <v>0</v>
      </c>
      <c r="W18" s="646">
        <v>0</v>
      </c>
    </row>
    <row r="19" spans="1:23" x14ac:dyDescent="0.3">
      <c r="B19" s="653">
        <v>10</v>
      </c>
      <c r="C19" s="664" t="s">
        <v>773</v>
      </c>
      <c r="D19" s="655">
        <f t="shared" si="0"/>
        <v>49336681.75</v>
      </c>
      <c r="E19" s="645">
        <f>SUM(E7:E13,E17,E18)</f>
        <v>47383722.609999999</v>
      </c>
      <c r="F19" s="645">
        <f>SUM(F7:F13,F17,F18)</f>
        <v>1038371.4299999999</v>
      </c>
      <c r="G19" s="645">
        <f>SUM(G7:G13,G17,G18)</f>
        <v>914587.71</v>
      </c>
      <c r="H19" s="645"/>
      <c r="I19" s="645">
        <f>SUM(I7:I13,I17,I18)</f>
        <v>49497086.650813855</v>
      </c>
      <c r="J19" s="645">
        <f>SUM(J7:J13,J17,J18)</f>
        <v>47495881.990933456</v>
      </c>
      <c r="K19" s="645">
        <f>SUM(K7:K13,K17,K18)</f>
        <v>1056342.1613456002</v>
      </c>
      <c r="L19" s="645">
        <f>SUM(L7:L13,L17,L18)</f>
        <v>944862.49853480002</v>
      </c>
      <c r="M19" s="645"/>
      <c r="N19" s="645">
        <f>SUM(N7:N13,N17,N18)</f>
        <v>1820317.7837043391</v>
      </c>
      <c r="O19" s="645">
        <f>SUM(O7:O13,O17,O18)</f>
        <v>1057592.6499353668</v>
      </c>
      <c r="P19" s="645">
        <f>SUM(P7:P13,P17,P18)</f>
        <v>249896.23319418999</v>
      </c>
      <c r="Q19" s="645">
        <f>SUM(Q7:Q13,Q17,Q18)</f>
        <v>512828.90057478205</v>
      </c>
      <c r="R19" s="645"/>
      <c r="S19" s="656">
        <v>8002</v>
      </c>
      <c r="T19" s="657">
        <v>0.237111312906783</v>
      </c>
      <c r="U19" s="657">
        <v>0.2814093326289</v>
      </c>
      <c r="V19" s="657">
        <v>0.20923372936389301</v>
      </c>
      <c r="W19" s="646">
        <v>65.241001924732799</v>
      </c>
    </row>
    <row r="20" spans="1:23" ht="24" x14ac:dyDescent="0.3">
      <c r="B20" s="665">
        <v>10.1</v>
      </c>
      <c r="C20" s="666" t="s">
        <v>774</v>
      </c>
      <c r="D20" s="656"/>
      <c r="E20" s="645"/>
      <c r="F20" s="645"/>
      <c r="G20" s="645"/>
      <c r="H20" s="645"/>
      <c r="I20" s="645">
        <f t="shared" ref="I20" si="3">SUM(J20:M20)</f>
        <v>0</v>
      </c>
      <c r="J20" s="645"/>
      <c r="K20" s="645"/>
      <c r="L20" s="645"/>
      <c r="M20" s="645"/>
      <c r="N20" s="645">
        <f t="shared" ref="N20" si="4">O20+P20+Q20</f>
        <v>0</v>
      </c>
      <c r="O20" s="645"/>
      <c r="P20" s="645"/>
      <c r="Q20" s="645"/>
      <c r="R20" s="645"/>
      <c r="S20" s="656"/>
      <c r="T20" s="656"/>
      <c r="U20" s="656"/>
      <c r="V20" s="656"/>
      <c r="W20" s="656"/>
    </row>
    <row r="22" spans="1:23" x14ac:dyDescent="0.3">
      <c r="C22" s="667"/>
      <c r="D22" s="668"/>
    </row>
    <row r="23" spans="1:23" x14ac:dyDescent="0.3">
      <c r="D23" s="668"/>
    </row>
    <row r="24" spans="1:23" x14ac:dyDescent="0.3">
      <c r="D24" s="668"/>
      <c r="E24" s="668"/>
    </row>
    <row r="25" spans="1:23" x14ac:dyDescent="0.3">
      <c r="I25" s="668"/>
    </row>
    <row r="26" spans="1:23" x14ac:dyDescent="0.3">
      <c r="I26" s="668"/>
    </row>
  </sheetData>
  <mergeCells count="9">
    <mergeCell ref="U5:U6"/>
    <mergeCell ref="V5:V6"/>
    <mergeCell ref="W5:W6"/>
    <mergeCell ref="B5:C6"/>
    <mergeCell ref="D5:H5"/>
    <mergeCell ref="I5:M5"/>
    <mergeCell ref="N5:R5"/>
    <mergeCell ref="S5:S6"/>
    <mergeCell ref="T5:T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F4D0-1F44-4203-9443-CD81AF42F400}">
  <dimension ref="A1:F237"/>
  <sheetViews>
    <sheetView topLeftCell="B57" zoomScale="110" zoomScaleNormal="110" workbookViewId="0">
      <selection activeCell="B65" sqref="B65:C65"/>
    </sheetView>
  </sheetViews>
  <sheetFormatPr defaultColWidth="43.5546875" defaultRowHeight="12" x14ac:dyDescent="0.3"/>
  <cols>
    <col min="1" max="1" width="8" style="676" customWidth="1"/>
    <col min="2" max="2" width="66.21875" style="675" customWidth="1"/>
    <col min="3" max="3" width="131.44140625" style="674" customWidth="1"/>
    <col min="4" max="5" width="10.21875" style="673" customWidth="1"/>
    <col min="6" max="6" width="67.6640625" style="673" customWidth="1"/>
    <col min="7" max="16384" width="43.5546875" style="673"/>
  </cols>
  <sheetData>
    <row r="1" spans="1:3" ht="13.2" thickTop="1" thickBot="1" x14ac:dyDescent="0.35">
      <c r="A1" s="947" t="s">
        <v>899</v>
      </c>
      <c r="B1" s="948"/>
      <c r="C1" s="949"/>
    </row>
    <row r="2" spans="1:3" ht="26.25" customHeight="1" x14ac:dyDescent="0.3">
      <c r="A2" s="699"/>
      <c r="B2" s="950" t="s">
        <v>1029</v>
      </c>
      <c r="C2" s="950"/>
    </row>
    <row r="3" spans="1:3" s="739" customFormat="1" ht="11.25" customHeight="1" x14ac:dyDescent="0.3">
      <c r="A3" s="740"/>
      <c r="B3" s="950" t="s">
        <v>1028</v>
      </c>
      <c r="C3" s="950"/>
    </row>
    <row r="4" spans="1:3" ht="12" customHeight="1" thickBot="1" x14ac:dyDescent="0.35">
      <c r="A4" s="951" t="s">
        <v>1027</v>
      </c>
      <c r="B4" s="952"/>
      <c r="C4" s="953"/>
    </row>
    <row r="5" spans="1:3" ht="12.6" thickTop="1" x14ac:dyDescent="0.3">
      <c r="A5" s="735"/>
      <c r="B5" s="954" t="s">
        <v>1026</v>
      </c>
      <c r="C5" s="955"/>
    </row>
    <row r="6" spans="1:3" x14ac:dyDescent="0.3">
      <c r="A6" s="699"/>
      <c r="B6" s="941" t="s">
        <v>1025</v>
      </c>
      <c r="C6" s="942"/>
    </row>
    <row r="7" spans="1:3" x14ac:dyDescent="0.3">
      <c r="A7" s="699"/>
      <c r="B7" s="941" t="s">
        <v>1024</v>
      </c>
      <c r="C7" s="942"/>
    </row>
    <row r="8" spans="1:3" x14ac:dyDescent="0.3">
      <c r="A8" s="699"/>
      <c r="B8" s="941" t="s">
        <v>1023</v>
      </c>
      <c r="C8" s="942"/>
    </row>
    <row r="9" spans="1:3" x14ac:dyDescent="0.3">
      <c r="A9" s="699"/>
      <c r="B9" s="943" t="s">
        <v>1022</v>
      </c>
      <c r="C9" s="944"/>
    </row>
    <row r="10" spans="1:3" x14ac:dyDescent="0.3">
      <c r="A10" s="699"/>
      <c r="B10" s="939" t="s">
        <v>1021</v>
      </c>
      <c r="C10" s="940" t="s">
        <v>1021</v>
      </c>
    </row>
    <row r="11" spans="1:3" x14ac:dyDescent="0.3">
      <c r="A11" s="699"/>
      <c r="B11" s="939" t="s">
        <v>1020</v>
      </c>
      <c r="C11" s="940" t="s">
        <v>1020</v>
      </c>
    </row>
    <row r="12" spans="1:3" x14ac:dyDescent="0.3">
      <c r="A12" s="699"/>
      <c r="B12" s="939" t="s">
        <v>1019</v>
      </c>
      <c r="C12" s="940" t="s">
        <v>1019</v>
      </c>
    </row>
    <row r="13" spans="1:3" x14ac:dyDescent="0.3">
      <c r="A13" s="699"/>
      <c r="B13" s="939" t="s">
        <v>1018</v>
      </c>
      <c r="C13" s="940" t="s">
        <v>1018</v>
      </c>
    </row>
    <row r="14" spans="1:3" x14ac:dyDescent="0.3">
      <c r="A14" s="699"/>
      <c r="B14" s="939" t="s">
        <v>1017</v>
      </c>
      <c r="C14" s="940" t="s">
        <v>1017</v>
      </c>
    </row>
    <row r="15" spans="1:3" ht="21.75" customHeight="1" x14ac:dyDescent="0.3">
      <c r="A15" s="699"/>
      <c r="B15" s="939" t="s">
        <v>1016</v>
      </c>
      <c r="C15" s="940" t="s">
        <v>1016</v>
      </c>
    </row>
    <row r="16" spans="1:3" x14ac:dyDescent="0.3">
      <c r="A16" s="699"/>
      <c r="B16" s="939" t="s">
        <v>1015</v>
      </c>
      <c r="C16" s="940" t="s">
        <v>1014</v>
      </c>
    </row>
    <row r="17" spans="1:6" x14ac:dyDescent="0.3">
      <c r="A17" s="699"/>
      <c r="B17" s="939" t="s">
        <v>1013</v>
      </c>
      <c r="C17" s="940" t="s">
        <v>1012</v>
      </c>
    </row>
    <row r="18" spans="1:6" x14ac:dyDescent="0.3">
      <c r="A18" s="699"/>
      <c r="B18" s="939" t="s">
        <v>1011</v>
      </c>
      <c r="C18" s="940" t="s">
        <v>1010</v>
      </c>
    </row>
    <row r="19" spans="1:6" x14ac:dyDescent="0.3">
      <c r="A19" s="738"/>
      <c r="B19" s="956" t="s">
        <v>1009</v>
      </c>
      <c r="C19" s="957" t="s">
        <v>1009</v>
      </c>
    </row>
    <row r="20" spans="1:6" x14ac:dyDescent="0.3">
      <c r="A20" s="738"/>
      <c r="B20" s="956" t="s">
        <v>1008</v>
      </c>
      <c r="C20" s="957" t="s">
        <v>1007</v>
      </c>
    </row>
    <row r="21" spans="1:6" x14ac:dyDescent="0.3">
      <c r="A21" s="699"/>
      <c r="B21" s="956" t="s">
        <v>1006</v>
      </c>
      <c r="C21" s="957" t="s">
        <v>1005</v>
      </c>
    </row>
    <row r="22" spans="1:6" ht="23.25" customHeight="1" x14ac:dyDescent="0.3">
      <c r="A22" s="699"/>
      <c r="B22" s="939" t="s">
        <v>1004</v>
      </c>
      <c r="C22" s="940" t="s">
        <v>1003</v>
      </c>
      <c r="F22" s="737"/>
    </row>
    <row r="23" spans="1:6" x14ac:dyDescent="0.3">
      <c r="A23" s="699"/>
      <c r="B23" s="939" t="s">
        <v>1002</v>
      </c>
      <c r="C23" s="940" t="s">
        <v>1002</v>
      </c>
    </row>
    <row r="24" spans="1:6" x14ac:dyDescent="0.3">
      <c r="A24" s="699"/>
      <c r="B24" s="939" t="s">
        <v>1001</v>
      </c>
      <c r="C24" s="940" t="s">
        <v>1000</v>
      </c>
    </row>
    <row r="25" spans="1:6" ht="12.6" thickBot="1" x14ac:dyDescent="0.35">
      <c r="A25" s="734"/>
      <c r="B25" s="958" t="s">
        <v>999</v>
      </c>
      <c r="C25" s="959"/>
    </row>
    <row r="26" spans="1:6" ht="13.2" thickTop="1" thickBot="1" x14ac:dyDescent="0.35">
      <c r="A26" s="951" t="s">
        <v>998</v>
      </c>
      <c r="B26" s="952"/>
      <c r="C26" s="953"/>
    </row>
    <row r="27" spans="1:6" ht="13.2" thickTop="1" thickBot="1" x14ac:dyDescent="0.35">
      <c r="A27" s="736"/>
      <c r="B27" s="960" t="s">
        <v>997</v>
      </c>
      <c r="C27" s="961"/>
    </row>
    <row r="28" spans="1:6" ht="13.2" thickTop="1" thickBot="1" x14ac:dyDescent="0.35">
      <c r="A28" s="951" t="s">
        <v>996</v>
      </c>
      <c r="B28" s="952"/>
      <c r="C28" s="953"/>
    </row>
    <row r="29" spans="1:6" ht="12.6" thickTop="1" x14ac:dyDescent="0.3">
      <c r="A29" s="735"/>
      <c r="B29" s="962" t="s">
        <v>995</v>
      </c>
      <c r="C29" s="963" t="s">
        <v>994</v>
      </c>
    </row>
    <row r="30" spans="1:6" x14ac:dyDescent="0.3">
      <c r="A30" s="699"/>
      <c r="B30" s="945" t="s">
        <v>993</v>
      </c>
      <c r="C30" s="946" t="s">
        <v>992</v>
      </c>
    </row>
    <row r="31" spans="1:6" x14ac:dyDescent="0.3">
      <c r="A31" s="699"/>
      <c r="B31" s="945" t="s">
        <v>991</v>
      </c>
      <c r="C31" s="946" t="s">
        <v>990</v>
      </c>
    </row>
    <row r="32" spans="1:6" x14ac:dyDescent="0.3">
      <c r="A32" s="699"/>
      <c r="B32" s="945" t="s">
        <v>989</v>
      </c>
      <c r="C32" s="946" t="s">
        <v>988</v>
      </c>
    </row>
    <row r="33" spans="1:3" x14ac:dyDescent="0.3">
      <c r="A33" s="699"/>
      <c r="B33" s="945" t="s">
        <v>987</v>
      </c>
      <c r="C33" s="946" t="s">
        <v>986</v>
      </c>
    </row>
    <row r="34" spans="1:3" x14ac:dyDescent="0.3">
      <c r="A34" s="699"/>
      <c r="B34" s="945" t="s">
        <v>985</v>
      </c>
      <c r="C34" s="946" t="s">
        <v>984</v>
      </c>
    </row>
    <row r="35" spans="1:3" x14ac:dyDescent="0.3">
      <c r="A35" s="699"/>
      <c r="B35" s="945" t="s">
        <v>983</v>
      </c>
      <c r="C35" s="946" t="s">
        <v>982</v>
      </c>
    </row>
    <row r="36" spans="1:3" x14ac:dyDescent="0.3">
      <c r="A36" s="699"/>
      <c r="B36" s="941" t="s">
        <v>981</v>
      </c>
      <c r="C36" s="964"/>
    </row>
    <row r="37" spans="1:3" ht="24.75" customHeight="1" x14ac:dyDescent="0.3">
      <c r="A37" s="699"/>
      <c r="B37" s="945" t="s">
        <v>980</v>
      </c>
      <c r="C37" s="946" t="s">
        <v>979</v>
      </c>
    </row>
    <row r="38" spans="1:3" ht="23.25" customHeight="1" x14ac:dyDescent="0.3">
      <c r="A38" s="699"/>
      <c r="B38" s="945" t="s">
        <v>978</v>
      </c>
      <c r="C38" s="946" t="s">
        <v>977</v>
      </c>
    </row>
    <row r="39" spans="1:3" ht="23.25" customHeight="1" x14ac:dyDescent="0.3">
      <c r="A39" s="699"/>
      <c r="B39" s="941" t="s">
        <v>976</v>
      </c>
      <c r="C39" s="942"/>
    </row>
    <row r="40" spans="1:3" ht="12" customHeight="1" x14ac:dyDescent="0.3">
      <c r="A40" s="699"/>
      <c r="B40" s="945" t="s">
        <v>975</v>
      </c>
      <c r="C40" s="946"/>
    </row>
    <row r="41" spans="1:3" ht="12.6" thickBot="1" x14ac:dyDescent="0.35">
      <c r="A41" s="951" t="s">
        <v>974</v>
      </c>
      <c r="B41" s="952"/>
      <c r="C41" s="953"/>
    </row>
    <row r="42" spans="1:3" ht="12.6" thickTop="1" x14ac:dyDescent="0.3">
      <c r="A42" s="735"/>
      <c r="B42" s="954" t="s">
        <v>973</v>
      </c>
      <c r="C42" s="955" t="s">
        <v>972</v>
      </c>
    </row>
    <row r="43" spans="1:3" x14ac:dyDescent="0.3">
      <c r="A43" s="699"/>
      <c r="B43" s="941" t="s">
        <v>971</v>
      </c>
      <c r="C43" s="942"/>
    </row>
    <row r="44" spans="1:3" ht="23.25" customHeight="1" thickBot="1" x14ac:dyDescent="0.35">
      <c r="A44" s="734"/>
      <c r="B44" s="965" t="s">
        <v>970</v>
      </c>
      <c r="C44" s="966" t="s">
        <v>969</v>
      </c>
    </row>
    <row r="45" spans="1:3" ht="11.25" customHeight="1" thickTop="1" thickBot="1" x14ac:dyDescent="0.35">
      <c r="A45" s="951" t="s">
        <v>968</v>
      </c>
      <c r="B45" s="952"/>
      <c r="C45" s="953"/>
    </row>
    <row r="46" spans="1:3" ht="26.25" customHeight="1" thickTop="1" x14ac:dyDescent="0.3">
      <c r="A46" s="699"/>
      <c r="B46" s="941" t="s">
        <v>967</v>
      </c>
      <c r="C46" s="942"/>
    </row>
    <row r="47" spans="1:3" ht="12.6" thickBot="1" x14ac:dyDescent="0.35">
      <c r="A47" s="951" t="s">
        <v>966</v>
      </c>
      <c r="B47" s="952"/>
      <c r="C47" s="953"/>
    </row>
    <row r="48" spans="1:3" ht="12.6" thickTop="1" x14ac:dyDescent="0.3">
      <c r="A48" s="735"/>
      <c r="B48" s="954" t="s">
        <v>957</v>
      </c>
      <c r="C48" s="955" t="s">
        <v>957</v>
      </c>
    </row>
    <row r="49" spans="1:3" ht="11.25" customHeight="1" x14ac:dyDescent="0.3">
      <c r="A49" s="699"/>
      <c r="B49" s="941" t="s">
        <v>965</v>
      </c>
      <c r="C49" s="942" t="s">
        <v>965</v>
      </c>
    </row>
    <row r="50" spans="1:3" x14ac:dyDescent="0.3">
      <c r="A50" s="699"/>
      <c r="B50" s="941" t="s">
        <v>964</v>
      </c>
      <c r="C50" s="942" t="s">
        <v>964</v>
      </c>
    </row>
    <row r="51" spans="1:3" ht="11.25" customHeight="1" x14ac:dyDescent="0.3">
      <c r="A51" s="699"/>
      <c r="B51" s="941" t="s">
        <v>963</v>
      </c>
      <c r="C51" s="942" t="s">
        <v>962</v>
      </c>
    </row>
    <row r="52" spans="1:3" ht="33.6" customHeight="1" x14ac:dyDescent="0.3">
      <c r="A52" s="699"/>
      <c r="B52" s="941" t="s">
        <v>961</v>
      </c>
      <c r="C52" s="942" t="s">
        <v>961</v>
      </c>
    </row>
    <row r="53" spans="1:3" ht="11.25" customHeight="1" x14ac:dyDescent="0.3">
      <c r="A53" s="699"/>
      <c r="B53" s="941" t="s">
        <v>960</v>
      </c>
      <c r="C53" s="942" t="s">
        <v>959</v>
      </c>
    </row>
    <row r="54" spans="1:3" ht="11.25" customHeight="1" thickBot="1" x14ac:dyDescent="0.35">
      <c r="A54" s="951" t="s">
        <v>958</v>
      </c>
      <c r="B54" s="952"/>
      <c r="C54" s="953"/>
    </row>
    <row r="55" spans="1:3" ht="12.6" thickTop="1" x14ac:dyDescent="0.3">
      <c r="A55" s="735"/>
      <c r="B55" s="954" t="s">
        <v>957</v>
      </c>
      <c r="C55" s="955" t="s">
        <v>957</v>
      </c>
    </row>
    <row r="56" spans="1:3" x14ac:dyDescent="0.3">
      <c r="A56" s="699"/>
      <c r="B56" s="941" t="s">
        <v>956</v>
      </c>
      <c r="C56" s="942" t="s">
        <v>956</v>
      </c>
    </row>
    <row r="57" spans="1:3" x14ac:dyDescent="0.3">
      <c r="A57" s="699"/>
      <c r="B57" s="941" t="s">
        <v>955</v>
      </c>
      <c r="C57" s="942" t="s">
        <v>954</v>
      </c>
    </row>
    <row r="58" spans="1:3" x14ac:dyDescent="0.3">
      <c r="A58" s="699"/>
      <c r="B58" s="941" t="s">
        <v>953</v>
      </c>
      <c r="C58" s="942" t="s">
        <v>953</v>
      </c>
    </row>
    <row r="59" spans="1:3" x14ac:dyDescent="0.3">
      <c r="A59" s="699"/>
      <c r="B59" s="941" t="s">
        <v>952</v>
      </c>
      <c r="C59" s="942" t="s">
        <v>952</v>
      </c>
    </row>
    <row r="60" spans="1:3" x14ac:dyDescent="0.3">
      <c r="A60" s="699"/>
      <c r="B60" s="941" t="s">
        <v>951</v>
      </c>
      <c r="C60" s="942" t="s">
        <v>951</v>
      </c>
    </row>
    <row r="61" spans="1:3" x14ac:dyDescent="0.3">
      <c r="A61" s="699"/>
      <c r="B61" s="941" t="s">
        <v>296</v>
      </c>
      <c r="C61" s="942" t="s">
        <v>297</v>
      </c>
    </row>
    <row r="62" spans="1:3" ht="12" customHeight="1" x14ac:dyDescent="0.3">
      <c r="A62" s="699"/>
      <c r="B62" s="941" t="s">
        <v>950</v>
      </c>
      <c r="C62" s="942" t="s">
        <v>298</v>
      </c>
    </row>
    <row r="63" spans="1:3" ht="22.5" customHeight="1" thickBot="1" x14ac:dyDescent="0.35">
      <c r="A63" s="734"/>
      <c r="B63" s="965" t="s">
        <v>299</v>
      </c>
      <c r="C63" s="966" t="s">
        <v>299</v>
      </c>
    </row>
    <row r="64" spans="1:3" ht="11.25" customHeight="1" thickTop="1" x14ac:dyDescent="0.3">
      <c r="A64" s="967" t="s">
        <v>949</v>
      </c>
      <c r="B64" s="968"/>
      <c r="C64" s="969"/>
    </row>
    <row r="65" spans="1:3" ht="12.6" thickBot="1" x14ac:dyDescent="0.35">
      <c r="A65" s="734"/>
      <c r="B65" s="965" t="s">
        <v>922</v>
      </c>
      <c r="C65" s="966" t="s">
        <v>922</v>
      </c>
    </row>
    <row r="66" spans="1:3" ht="11.25" customHeight="1" thickTop="1" x14ac:dyDescent="0.3">
      <c r="A66" s="967" t="s">
        <v>948</v>
      </c>
      <c r="B66" s="968"/>
      <c r="C66" s="969"/>
    </row>
    <row r="67" spans="1:3" ht="12.6" thickBot="1" x14ac:dyDescent="0.35">
      <c r="A67" s="734"/>
      <c r="B67" s="965" t="s">
        <v>947</v>
      </c>
      <c r="C67" s="966"/>
    </row>
    <row r="68" spans="1:3" ht="11.25" customHeight="1" thickTop="1" thickBot="1" x14ac:dyDescent="0.35">
      <c r="A68" s="951" t="s">
        <v>946</v>
      </c>
      <c r="B68" s="952"/>
      <c r="C68" s="953"/>
    </row>
    <row r="69" spans="1:3" ht="12.6" thickTop="1" x14ac:dyDescent="0.3">
      <c r="A69" s="735"/>
      <c r="B69" s="954" t="s">
        <v>945</v>
      </c>
      <c r="C69" s="955" t="s">
        <v>945</v>
      </c>
    </row>
    <row r="70" spans="1:3" x14ac:dyDescent="0.3">
      <c r="A70" s="699"/>
      <c r="B70" s="941" t="s">
        <v>944</v>
      </c>
      <c r="C70" s="942" t="s">
        <v>943</v>
      </c>
    </row>
    <row r="71" spans="1:3" x14ac:dyDescent="0.3">
      <c r="A71" s="699"/>
      <c r="B71" s="941" t="s">
        <v>942</v>
      </c>
      <c r="C71" s="942" t="s">
        <v>942</v>
      </c>
    </row>
    <row r="72" spans="1:3" ht="55.05" customHeight="1" x14ac:dyDescent="0.3">
      <c r="A72" s="699"/>
      <c r="B72" s="970" t="s">
        <v>941</v>
      </c>
      <c r="C72" s="971" t="s">
        <v>940</v>
      </c>
    </row>
    <row r="73" spans="1:3" ht="33.75" customHeight="1" x14ac:dyDescent="0.3">
      <c r="A73" s="699"/>
      <c r="B73" s="972" t="s">
        <v>939</v>
      </c>
      <c r="C73" s="973" t="s">
        <v>938</v>
      </c>
    </row>
    <row r="74" spans="1:3" ht="15.75" customHeight="1" x14ac:dyDescent="0.3">
      <c r="A74" s="699"/>
      <c r="B74" s="972" t="s">
        <v>937</v>
      </c>
      <c r="C74" s="973" t="s">
        <v>936</v>
      </c>
    </row>
    <row r="75" spans="1:3" x14ac:dyDescent="0.3">
      <c r="A75" s="699"/>
      <c r="B75" s="941" t="s">
        <v>935</v>
      </c>
      <c r="C75" s="942" t="s">
        <v>935</v>
      </c>
    </row>
    <row r="76" spans="1:3" ht="12.6" thickBot="1" x14ac:dyDescent="0.35">
      <c r="A76" s="734"/>
      <c r="B76" s="965" t="s">
        <v>934</v>
      </c>
      <c r="C76" s="966" t="s">
        <v>934</v>
      </c>
    </row>
    <row r="77" spans="1:3" ht="12.6" thickTop="1" x14ac:dyDescent="0.3">
      <c r="A77" s="967" t="s">
        <v>933</v>
      </c>
      <c r="B77" s="968"/>
      <c r="C77" s="969"/>
    </row>
    <row r="78" spans="1:3" x14ac:dyDescent="0.3">
      <c r="A78" s="699"/>
      <c r="B78" s="941" t="s">
        <v>922</v>
      </c>
      <c r="C78" s="942"/>
    </row>
    <row r="79" spans="1:3" x14ac:dyDescent="0.3">
      <c r="A79" s="699"/>
      <c r="B79" s="941" t="s">
        <v>932</v>
      </c>
      <c r="C79" s="942"/>
    </row>
    <row r="80" spans="1:3" x14ac:dyDescent="0.3">
      <c r="A80" s="699"/>
      <c r="B80" s="941" t="s">
        <v>931</v>
      </c>
      <c r="C80" s="942"/>
    </row>
    <row r="81" spans="1:3" x14ac:dyDescent="0.3">
      <c r="A81" s="967" t="s">
        <v>930</v>
      </c>
      <c r="B81" s="968"/>
      <c r="C81" s="969"/>
    </row>
    <row r="82" spans="1:3" x14ac:dyDescent="0.3">
      <c r="A82" s="699"/>
      <c r="B82" s="941" t="s">
        <v>922</v>
      </c>
      <c r="C82" s="942"/>
    </row>
    <row r="83" spans="1:3" x14ac:dyDescent="0.3">
      <c r="A83" s="699"/>
      <c r="B83" s="941" t="s">
        <v>929</v>
      </c>
      <c r="C83" s="942"/>
    </row>
    <row r="84" spans="1:3" ht="79.5" customHeight="1" x14ac:dyDescent="0.3">
      <c r="A84" s="699"/>
      <c r="B84" s="941" t="s">
        <v>928</v>
      </c>
      <c r="C84" s="942"/>
    </row>
    <row r="85" spans="1:3" ht="53.25" customHeight="1" x14ac:dyDescent="0.3">
      <c r="A85" s="699"/>
      <c r="B85" s="941" t="s">
        <v>927</v>
      </c>
      <c r="C85" s="942"/>
    </row>
    <row r="86" spans="1:3" x14ac:dyDescent="0.3">
      <c r="A86" s="699"/>
      <c r="B86" s="941" t="s">
        <v>926</v>
      </c>
      <c r="C86" s="942"/>
    </row>
    <row r="87" spans="1:3" x14ac:dyDescent="0.3">
      <c r="A87" s="699"/>
      <c r="B87" s="941" t="s">
        <v>925</v>
      </c>
      <c r="C87" s="942"/>
    </row>
    <row r="88" spans="1:3" x14ac:dyDescent="0.3">
      <c r="A88" s="699"/>
      <c r="B88" s="941" t="s">
        <v>924</v>
      </c>
      <c r="C88" s="942"/>
    </row>
    <row r="89" spans="1:3" x14ac:dyDescent="0.3">
      <c r="A89" s="967" t="s">
        <v>923</v>
      </c>
      <c r="B89" s="968"/>
      <c r="C89" s="969"/>
    </row>
    <row r="90" spans="1:3" x14ac:dyDescent="0.3">
      <c r="A90" s="699"/>
      <c r="B90" s="941" t="s">
        <v>922</v>
      </c>
      <c r="C90" s="942"/>
    </row>
    <row r="91" spans="1:3" x14ac:dyDescent="0.3">
      <c r="A91" s="699"/>
      <c r="B91" s="941" t="s">
        <v>921</v>
      </c>
      <c r="C91" s="942"/>
    </row>
    <row r="92" spans="1:3" ht="12" customHeight="1" x14ac:dyDescent="0.3">
      <c r="A92" s="699"/>
      <c r="B92" s="941" t="s">
        <v>920</v>
      </c>
      <c r="C92" s="942"/>
    </row>
    <row r="93" spans="1:3" x14ac:dyDescent="0.3">
      <c r="A93" s="699"/>
      <c r="B93" s="941" t="s">
        <v>919</v>
      </c>
      <c r="C93" s="942"/>
    </row>
    <row r="94" spans="1:3" ht="24.75" customHeight="1" x14ac:dyDescent="0.3">
      <c r="A94" s="699"/>
      <c r="B94" s="945" t="s">
        <v>918</v>
      </c>
      <c r="C94" s="946"/>
    </row>
    <row r="95" spans="1:3" ht="24" customHeight="1" x14ac:dyDescent="0.3">
      <c r="A95" s="699"/>
      <c r="B95" s="945" t="s">
        <v>917</v>
      </c>
      <c r="C95" s="946"/>
    </row>
    <row r="96" spans="1:3" ht="13.5" customHeight="1" x14ac:dyDescent="0.3">
      <c r="A96" s="699"/>
      <c r="B96" s="945" t="s">
        <v>916</v>
      </c>
      <c r="C96" s="946"/>
    </row>
    <row r="97" spans="1:3" ht="11.25" customHeight="1" thickBot="1" x14ac:dyDescent="0.35">
      <c r="A97" s="974" t="s">
        <v>915</v>
      </c>
      <c r="B97" s="975"/>
      <c r="C97" s="976"/>
    </row>
    <row r="98" spans="1:3" ht="13.2" thickTop="1" thickBot="1" x14ac:dyDescent="0.35">
      <c r="A98" s="977" t="s">
        <v>914</v>
      </c>
      <c r="B98" s="977"/>
      <c r="C98" s="977"/>
    </row>
    <row r="99" spans="1:3" x14ac:dyDescent="0.3">
      <c r="A99" s="733">
        <v>2</v>
      </c>
      <c r="B99" s="732" t="s">
        <v>488</v>
      </c>
      <c r="C99" s="732" t="s">
        <v>913</v>
      </c>
    </row>
    <row r="100" spans="1:3" x14ac:dyDescent="0.3">
      <c r="A100" s="731">
        <v>3</v>
      </c>
      <c r="B100" s="730" t="s">
        <v>489</v>
      </c>
      <c r="C100" s="729" t="s">
        <v>912</v>
      </c>
    </row>
    <row r="101" spans="1:3" x14ac:dyDescent="0.3">
      <c r="A101" s="731">
        <v>4</v>
      </c>
      <c r="B101" s="730" t="s">
        <v>490</v>
      </c>
      <c r="C101" s="729" t="s">
        <v>911</v>
      </c>
    </row>
    <row r="102" spans="1:3" ht="11.25" customHeight="1" x14ac:dyDescent="0.3">
      <c r="A102" s="731">
        <v>5</v>
      </c>
      <c r="B102" s="730" t="s">
        <v>491</v>
      </c>
      <c r="C102" s="729" t="s">
        <v>910</v>
      </c>
    </row>
    <row r="103" spans="1:3" ht="12" customHeight="1" x14ac:dyDescent="0.3">
      <c r="A103" s="731">
        <v>6</v>
      </c>
      <c r="B103" s="730" t="s">
        <v>492</v>
      </c>
      <c r="C103" s="729" t="s">
        <v>909</v>
      </c>
    </row>
    <row r="104" spans="1:3" ht="12" customHeight="1" x14ac:dyDescent="0.3">
      <c r="A104" s="731">
        <v>7</v>
      </c>
      <c r="B104" s="730" t="s">
        <v>493</v>
      </c>
      <c r="C104" s="729" t="s">
        <v>908</v>
      </c>
    </row>
    <row r="105" spans="1:3" x14ac:dyDescent="0.3">
      <c r="A105" s="731">
        <v>8</v>
      </c>
      <c r="B105" s="730" t="s">
        <v>498</v>
      </c>
      <c r="C105" s="729" t="s">
        <v>907</v>
      </c>
    </row>
    <row r="106" spans="1:3" ht="11.25" customHeight="1" x14ac:dyDescent="0.3">
      <c r="A106" s="967" t="s">
        <v>906</v>
      </c>
      <c r="B106" s="968"/>
      <c r="C106" s="969"/>
    </row>
    <row r="107" spans="1:3" ht="12" customHeight="1" x14ac:dyDescent="0.3">
      <c r="A107" s="699"/>
      <c r="B107" s="941" t="s">
        <v>905</v>
      </c>
      <c r="C107" s="942"/>
    </row>
    <row r="108" spans="1:3" x14ac:dyDescent="0.3">
      <c r="A108" s="967" t="s">
        <v>904</v>
      </c>
      <c r="B108" s="968"/>
      <c r="C108" s="969"/>
    </row>
    <row r="109" spans="1:3" ht="12" customHeight="1" x14ac:dyDescent="0.3">
      <c r="A109" s="699"/>
      <c r="B109" s="941" t="s">
        <v>903</v>
      </c>
      <c r="C109" s="942"/>
    </row>
    <row r="110" spans="1:3" x14ac:dyDescent="0.3">
      <c r="A110" s="699"/>
      <c r="B110" s="941" t="s">
        <v>902</v>
      </c>
      <c r="C110" s="942"/>
    </row>
    <row r="111" spans="1:3" x14ac:dyDescent="0.3">
      <c r="A111" s="699"/>
      <c r="B111" s="941" t="s">
        <v>901</v>
      </c>
      <c r="C111" s="942"/>
    </row>
    <row r="112" spans="1:3" x14ac:dyDescent="0.3">
      <c r="A112" s="978" t="s">
        <v>900</v>
      </c>
      <c r="B112" s="978"/>
      <c r="C112" s="978"/>
    </row>
    <row r="113" spans="1:3" x14ac:dyDescent="0.3">
      <c r="A113" s="979" t="s">
        <v>899</v>
      </c>
      <c r="B113" s="979"/>
      <c r="C113" s="979"/>
    </row>
    <row r="114" spans="1:3" x14ac:dyDescent="0.3">
      <c r="A114" s="724">
        <v>1</v>
      </c>
      <c r="B114" s="980" t="s">
        <v>898</v>
      </c>
      <c r="C114" s="981"/>
    </row>
    <row r="115" spans="1:3" x14ac:dyDescent="0.3">
      <c r="A115" s="724">
        <v>2</v>
      </c>
      <c r="B115" s="982" t="s">
        <v>897</v>
      </c>
      <c r="C115" s="983"/>
    </row>
    <row r="116" spans="1:3" x14ac:dyDescent="0.3">
      <c r="A116" s="724">
        <v>3</v>
      </c>
      <c r="B116" s="980" t="s">
        <v>896</v>
      </c>
      <c r="C116" s="981"/>
    </row>
    <row r="117" spans="1:3" x14ac:dyDescent="0.3">
      <c r="A117" s="724">
        <v>4</v>
      </c>
      <c r="B117" s="980" t="s">
        <v>895</v>
      </c>
      <c r="C117" s="981"/>
    </row>
    <row r="118" spans="1:3" x14ac:dyDescent="0.3">
      <c r="A118" s="724">
        <v>5</v>
      </c>
      <c r="B118" s="728" t="s">
        <v>894</v>
      </c>
      <c r="C118" s="727"/>
    </row>
    <row r="119" spans="1:3" x14ac:dyDescent="0.3">
      <c r="A119" s="724">
        <v>6</v>
      </c>
      <c r="B119" s="988" t="s">
        <v>893</v>
      </c>
      <c r="C119" s="989"/>
    </row>
    <row r="120" spans="1:3" ht="48.45" customHeight="1" x14ac:dyDescent="0.3">
      <c r="A120" s="724">
        <v>7</v>
      </c>
      <c r="B120" s="988" t="s">
        <v>892</v>
      </c>
      <c r="C120" s="989"/>
    </row>
    <row r="121" spans="1:3" x14ac:dyDescent="0.3">
      <c r="A121" s="697">
        <v>8</v>
      </c>
      <c r="B121" s="683" t="s">
        <v>891</v>
      </c>
      <c r="C121" s="720" t="s">
        <v>890</v>
      </c>
    </row>
    <row r="122" spans="1:3" ht="24" x14ac:dyDescent="0.3">
      <c r="A122" s="724">
        <v>9.01</v>
      </c>
      <c r="B122" s="683" t="s">
        <v>620</v>
      </c>
      <c r="C122" s="684" t="s">
        <v>889</v>
      </c>
    </row>
    <row r="123" spans="1:3" ht="36" x14ac:dyDescent="0.3">
      <c r="A123" s="724">
        <v>9.02</v>
      </c>
      <c r="B123" s="683" t="s">
        <v>621</v>
      </c>
      <c r="C123" s="684" t="s">
        <v>888</v>
      </c>
    </row>
    <row r="124" spans="1:3" x14ac:dyDescent="0.3">
      <c r="A124" s="724">
        <v>9.0299999999999994</v>
      </c>
      <c r="B124" s="684" t="s">
        <v>623</v>
      </c>
      <c r="C124" s="684" t="s">
        <v>887</v>
      </c>
    </row>
    <row r="125" spans="1:3" x14ac:dyDescent="0.3">
      <c r="A125" s="724">
        <v>9.0399999999999991</v>
      </c>
      <c r="B125" s="683" t="s">
        <v>624</v>
      </c>
      <c r="C125" s="684" t="s">
        <v>886</v>
      </c>
    </row>
    <row r="126" spans="1:3" x14ac:dyDescent="0.3">
      <c r="A126" s="724">
        <v>9.0500000000000007</v>
      </c>
      <c r="B126" s="683" t="s">
        <v>626</v>
      </c>
      <c r="C126" s="684" t="s">
        <v>885</v>
      </c>
    </row>
    <row r="127" spans="1:3" ht="24" x14ac:dyDescent="0.3">
      <c r="A127" s="724">
        <v>9.06</v>
      </c>
      <c r="B127" s="683" t="s">
        <v>627</v>
      </c>
      <c r="C127" s="684" t="s">
        <v>884</v>
      </c>
    </row>
    <row r="128" spans="1:3" x14ac:dyDescent="0.3">
      <c r="A128" s="724">
        <v>9.07</v>
      </c>
      <c r="B128" s="726" t="s">
        <v>629</v>
      </c>
      <c r="C128" s="684" t="s">
        <v>883</v>
      </c>
    </row>
    <row r="129" spans="1:3" ht="24" x14ac:dyDescent="0.3">
      <c r="A129" s="724">
        <v>9.08</v>
      </c>
      <c r="B129" s="683" t="s">
        <v>630</v>
      </c>
      <c r="C129" s="684" t="s">
        <v>882</v>
      </c>
    </row>
    <row r="130" spans="1:3" ht="24" x14ac:dyDescent="0.3">
      <c r="A130" s="724">
        <v>9.09</v>
      </c>
      <c r="B130" s="683" t="s">
        <v>631</v>
      </c>
      <c r="C130" s="684" t="s">
        <v>881</v>
      </c>
    </row>
    <row r="131" spans="1:3" x14ac:dyDescent="0.3">
      <c r="A131" s="725">
        <v>9.1</v>
      </c>
      <c r="B131" s="683" t="s">
        <v>632</v>
      </c>
      <c r="C131" s="684" t="s">
        <v>880</v>
      </c>
    </row>
    <row r="132" spans="1:3" x14ac:dyDescent="0.3">
      <c r="A132" s="724">
        <v>9.11</v>
      </c>
      <c r="B132" s="683" t="s">
        <v>633</v>
      </c>
      <c r="C132" s="684" t="s">
        <v>879</v>
      </c>
    </row>
    <row r="133" spans="1:3" x14ac:dyDescent="0.3">
      <c r="A133" s="724">
        <v>9.1199999999999992</v>
      </c>
      <c r="B133" s="683" t="s">
        <v>634</v>
      </c>
      <c r="C133" s="684" t="s">
        <v>878</v>
      </c>
    </row>
    <row r="134" spans="1:3" x14ac:dyDescent="0.3">
      <c r="A134" s="724">
        <v>9.1300000000000008</v>
      </c>
      <c r="B134" s="683" t="s">
        <v>635</v>
      </c>
      <c r="C134" s="684" t="s">
        <v>877</v>
      </c>
    </row>
    <row r="135" spans="1:3" x14ac:dyDescent="0.3">
      <c r="A135" s="724">
        <v>9.14</v>
      </c>
      <c r="B135" s="683" t="s">
        <v>636</v>
      </c>
      <c r="C135" s="684" t="s">
        <v>876</v>
      </c>
    </row>
    <row r="136" spans="1:3" x14ac:dyDescent="0.3">
      <c r="A136" s="724">
        <v>9.15</v>
      </c>
      <c r="B136" s="683" t="s">
        <v>637</v>
      </c>
      <c r="C136" s="684" t="s">
        <v>875</v>
      </c>
    </row>
    <row r="137" spans="1:3" x14ac:dyDescent="0.3">
      <c r="A137" s="724">
        <v>9.16</v>
      </c>
      <c r="B137" s="683" t="s">
        <v>638</v>
      </c>
      <c r="C137" s="684" t="s">
        <v>874</v>
      </c>
    </row>
    <row r="138" spans="1:3" x14ac:dyDescent="0.3">
      <c r="A138" s="724">
        <v>9.17</v>
      </c>
      <c r="B138" s="684" t="s">
        <v>640</v>
      </c>
      <c r="C138" s="684" t="s">
        <v>873</v>
      </c>
    </row>
    <row r="139" spans="1:3" ht="24" x14ac:dyDescent="0.3">
      <c r="A139" s="724">
        <v>9.18</v>
      </c>
      <c r="B139" s="683" t="s">
        <v>641</v>
      </c>
      <c r="C139" s="684" t="s">
        <v>872</v>
      </c>
    </row>
    <row r="140" spans="1:3" x14ac:dyDescent="0.3">
      <c r="A140" s="724">
        <v>9.19</v>
      </c>
      <c r="B140" s="683" t="s">
        <v>642</v>
      </c>
      <c r="C140" s="684" t="s">
        <v>871</v>
      </c>
    </row>
    <row r="141" spans="1:3" x14ac:dyDescent="0.3">
      <c r="A141" s="725">
        <v>9.1999999999999993</v>
      </c>
      <c r="B141" s="683" t="s">
        <v>643</v>
      </c>
      <c r="C141" s="684" t="s">
        <v>870</v>
      </c>
    </row>
    <row r="142" spans="1:3" x14ac:dyDescent="0.3">
      <c r="A142" s="724">
        <v>9.2100000000000009</v>
      </c>
      <c r="B142" s="683" t="s">
        <v>644</v>
      </c>
      <c r="C142" s="684" t="s">
        <v>869</v>
      </c>
    </row>
    <row r="143" spans="1:3" x14ac:dyDescent="0.3">
      <c r="A143" s="724">
        <v>9.2200000000000006</v>
      </c>
      <c r="B143" s="683" t="s">
        <v>645</v>
      </c>
      <c r="C143" s="684" t="s">
        <v>868</v>
      </c>
    </row>
    <row r="144" spans="1:3" ht="24" x14ac:dyDescent="0.3">
      <c r="A144" s="724">
        <v>9.23</v>
      </c>
      <c r="B144" s="683" t="s">
        <v>646</v>
      </c>
      <c r="C144" s="684" t="s">
        <v>867</v>
      </c>
    </row>
    <row r="145" spans="1:3" ht="24" x14ac:dyDescent="0.3">
      <c r="A145" s="724">
        <v>9.24</v>
      </c>
      <c r="B145" s="683" t="s">
        <v>647</v>
      </c>
      <c r="C145" s="684" t="s">
        <v>866</v>
      </c>
    </row>
    <row r="146" spans="1:3" x14ac:dyDescent="0.3">
      <c r="A146" s="724">
        <v>9.2500000000000107</v>
      </c>
      <c r="B146" s="683" t="s">
        <v>209</v>
      </c>
      <c r="C146" s="684" t="s">
        <v>865</v>
      </c>
    </row>
    <row r="147" spans="1:3" ht="24" x14ac:dyDescent="0.3">
      <c r="A147" s="724">
        <v>9.2600000000000193</v>
      </c>
      <c r="B147" s="683" t="s">
        <v>864</v>
      </c>
      <c r="C147" s="229" t="s">
        <v>863</v>
      </c>
    </row>
    <row r="148" spans="1:3" s="722" customFormat="1" ht="24" x14ac:dyDescent="0.3">
      <c r="A148" s="724">
        <v>9.2700000000000298</v>
      </c>
      <c r="B148" s="683" t="s">
        <v>115</v>
      </c>
      <c r="C148" s="229" t="s">
        <v>862</v>
      </c>
    </row>
    <row r="149" spans="1:3" s="722" customFormat="1" x14ac:dyDescent="0.3">
      <c r="A149" s="699"/>
      <c r="B149" s="984" t="s">
        <v>861</v>
      </c>
      <c r="C149" s="985"/>
    </row>
    <row r="150" spans="1:3" s="722" customFormat="1" x14ac:dyDescent="0.3">
      <c r="A150" s="697">
        <v>1</v>
      </c>
      <c r="B150" s="941" t="s">
        <v>860</v>
      </c>
      <c r="C150" s="942"/>
    </row>
    <row r="151" spans="1:3" s="722" customFormat="1" x14ac:dyDescent="0.3">
      <c r="A151" s="697">
        <v>2</v>
      </c>
      <c r="B151" s="941" t="s">
        <v>859</v>
      </c>
      <c r="C151" s="942"/>
    </row>
    <row r="152" spans="1:3" s="722" customFormat="1" x14ac:dyDescent="0.3">
      <c r="A152" s="697">
        <v>3</v>
      </c>
      <c r="B152" s="941" t="s">
        <v>858</v>
      </c>
      <c r="C152" s="942"/>
    </row>
    <row r="153" spans="1:3" s="722" customFormat="1" x14ac:dyDescent="0.3">
      <c r="A153" s="699"/>
      <c r="B153" s="984" t="s">
        <v>857</v>
      </c>
      <c r="C153" s="985"/>
    </row>
    <row r="154" spans="1:3" s="722" customFormat="1" x14ac:dyDescent="0.3">
      <c r="A154" s="697">
        <v>1</v>
      </c>
      <c r="B154" s="986" t="s">
        <v>856</v>
      </c>
      <c r="C154" s="987"/>
    </row>
    <row r="155" spans="1:3" s="722" customFormat="1" x14ac:dyDescent="0.3">
      <c r="A155" s="697">
        <v>2</v>
      </c>
      <c r="B155" s="683" t="s">
        <v>619</v>
      </c>
      <c r="C155" s="723" t="s">
        <v>800</v>
      </c>
    </row>
    <row r="156" spans="1:3" ht="24" x14ac:dyDescent="0.3">
      <c r="A156" s="697">
        <v>3</v>
      </c>
      <c r="B156" s="683" t="s">
        <v>609</v>
      </c>
      <c r="C156" s="720" t="s">
        <v>855</v>
      </c>
    </row>
    <row r="157" spans="1:3" x14ac:dyDescent="0.3">
      <c r="A157" s="697">
        <v>4</v>
      </c>
      <c r="B157" s="683" t="s">
        <v>610</v>
      </c>
      <c r="C157" s="683" t="s">
        <v>854</v>
      </c>
    </row>
    <row r="158" spans="1:3" ht="25.05" customHeight="1" x14ac:dyDescent="0.3">
      <c r="A158" s="699"/>
      <c r="B158" s="984" t="s">
        <v>853</v>
      </c>
      <c r="C158" s="985"/>
    </row>
    <row r="159" spans="1:3" ht="36" x14ac:dyDescent="0.3">
      <c r="A159" s="697"/>
      <c r="B159" s="683" t="s">
        <v>801</v>
      </c>
      <c r="C159" s="701" t="s">
        <v>852</v>
      </c>
    </row>
    <row r="160" spans="1:3" x14ac:dyDescent="0.3">
      <c r="A160" s="699"/>
      <c r="B160" s="984" t="s">
        <v>851</v>
      </c>
      <c r="C160" s="985"/>
    </row>
    <row r="161" spans="1:3" ht="39" customHeight="1" x14ac:dyDescent="0.3">
      <c r="A161" s="699"/>
      <c r="B161" s="941" t="s">
        <v>850</v>
      </c>
      <c r="C161" s="942"/>
    </row>
    <row r="162" spans="1:3" x14ac:dyDescent="0.3">
      <c r="A162" s="699" t="s">
        <v>849</v>
      </c>
      <c r="B162" s="721" t="s">
        <v>667</v>
      </c>
      <c r="C162" s="696" t="s">
        <v>848</v>
      </c>
    </row>
    <row r="163" spans="1:3" x14ac:dyDescent="0.3">
      <c r="A163" s="699" t="s">
        <v>355</v>
      </c>
      <c r="B163" s="718" t="s">
        <v>668</v>
      </c>
      <c r="C163" s="720" t="s">
        <v>847</v>
      </c>
    </row>
    <row r="164" spans="1:3" ht="24" x14ac:dyDescent="0.3">
      <c r="A164" s="699" t="s">
        <v>363</v>
      </c>
      <c r="B164" s="696" t="s">
        <v>669</v>
      </c>
      <c r="C164" s="720" t="s">
        <v>846</v>
      </c>
    </row>
    <row r="165" spans="1:3" x14ac:dyDescent="0.3">
      <c r="A165" s="699" t="s">
        <v>845</v>
      </c>
      <c r="B165" s="718" t="s">
        <v>670</v>
      </c>
      <c r="C165" s="719" t="s">
        <v>844</v>
      </c>
    </row>
    <row r="166" spans="1:3" ht="24" x14ac:dyDescent="0.3">
      <c r="A166" s="699" t="s">
        <v>843</v>
      </c>
      <c r="B166" s="718" t="s">
        <v>671</v>
      </c>
      <c r="C166" s="713" t="s">
        <v>842</v>
      </c>
    </row>
    <row r="167" spans="1:3" ht="24" x14ac:dyDescent="0.3">
      <c r="A167" s="699" t="s">
        <v>372</v>
      </c>
      <c r="B167" s="718" t="s">
        <v>672</v>
      </c>
      <c r="C167" s="713" t="s">
        <v>841</v>
      </c>
    </row>
    <row r="168" spans="1:3" ht="24" x14ac:dyDescent="0.3">
      <c r="A168" s="699" t="s">
        <v>840</v>
      </c>
      <c r="B168" s="716" t="s">
        <v>673</v>
      </c>
      <c r="C168" s="717" t="s">
        <v>839</v>
      </c>
    </row>
    <row r="169" spans="1:3" ht="24" x14ac:dyDescent="0.3">
      <c r="A169" s="699" t="s">
        <v>838</v>
      </c>
      <c r="B169" s="716" t="s">
        <v>674</v>
      </c>
      <c r="C169" s="713" t="s">
        <v>837</v>
      </c>
    </row>
    <row r="170" spans="1:3" ht="26.55" customHeight="1" x14ac:dyDescent="0.3">
      <c r="A170" s="699" t="s">
        <v>836</v>
      </c>
      <c r="B170" s="716" t="s">
        <v>675</v>
      </c>
      <c r="C170" s="717" t="s">
        <v>835</v>
      </c>
    </row>
    <row r="171" spans="1:3" x14ac:dyDescent="0.3">
      <c r="A171" s="699" t="s">
        <v>834</v>
      </c>
      <c r="B171" s="684" t="s">
        <v>676</v>
      </c>
      <c r="C171" s="717" t="s">
        <v>833</v>
      </c>
    </row>
    <row r="172" spans="1:3" ht="24" x14ac:dyDescent="0.3">
      <c r="A172" s="699" t="s">
        <v>832</v>
      </c>
      <c r="B172" s="716" t="s">
        <v>677</v>
      </c>
      <c r="C172" s="715" t="s">
        <v>831</v>
      </c>
    </row>
    <row r="173" spans="1:3" x14ac:dyDescent="0.3">
      <c r="A173" s="699" t="s">
        <v>830</v>
      </c>
      <c r="B173" s="714" t="s">
        <v>678</v>
      </c>
      <c r="C173" s="696" t="s">
        <v>829</v>
      </c>
    </row>
    <row r="174" spans="1:3" ht="24" x14ac:dyDescent="0.3">
      <c r="A174" s="699"/>
      <c r="B174" s="713" t="s">
        <v>828</v>
      </c>
      <c r="C174" s="684" t="s">
        <v>827</v>
      </c>
    </row>
    <row r="175" spans="1:3" ht="24" x14ac:dyDescent="0.3">
      <c r="A175" s="699"/>
      <c r="B175" s="713" t="s">
        <v>826</v>
      </c>
      <c r="C175" s="684" t="s">
        <v>825</v>
      </c>
    </row>
    <row r="176" spans="1:3" ht="24" x14ac:dyDescent="0.3">
      <c r="A176" s="699"/>
      <c r="B176" s="713" t="s">
        <v>824</v>
      </c>
      <c r="C176" s="684" t="s">
        <v>823</v>
      </c>
    </row>
    <row r="177" spans="1:3" x14ac:dyDescent="0.3">
      <c r="A177" s="699"/>
      <c r="B177" s="984" t="s">
        <v>822</v>
      </c>
      <c r="C177" s="985"/>
    </row>
    <row r="178" spans="1:3" x14ac:dyDescent="0.3">
      <c r="A178" s="699"/>
      <c r="B178" s="941" t="s">
        <v>821</v>
      </c>
      <c r="C178" s="942"/>
    </row>
    <row r="179" spans="1:3" x14ac:dyDescent="0.3">
      <c r="A179" s="697">
        <v>1</v>
      </c>
      <c r="B179" s="684" t="s">
        <v>694</v>
      </c>
      <c r="C179" s="684" t="s">
        <v>694</v>
      </c>
    </row>
    <row r="180" spans="1:3" ht="24" x14ac:dyDescent="0.3">
      <c r="A180" s="697">
        <v>2</v>
      </c>
      <c r="B180" s="684" t="s">
        <v>820</v>
      </c>
      <c r="C180" s="684" t="s">
        <v>819</v>
      </c>
    </row>
    <row r="181" spans="1:3" x14ac:dyDescent="0.3">
      <c r="A181" s="697">
        <v>3</v>
      </c>
      <c r="B181" s="684" t="s">
        <v>696</v>
      </c>
      <c r="C181" s="684" t="s">
        <v>818</v>
      </c>
    </row>
    <row r="182" spans="1:3" ht="24" x14ac:dyDescent="0.3">
      <c r="A182" s="697">
        <v>4</v>
      </c>
      <c r="B182" s="684" t="s">
        <v>697</v>
      </c>
      <c r="C182" s="684" t="s">
        <v>817</v>
      </c>
    </row>
    <row r="183" spans="1:3" ht="24" x14ac:dyDescent="0.3">
      <c r="A183" s="697">
        <v>5</v>
      </c>
      <c r="B183" s="684" t="s">
        <v>698</v>
      </c>
      <c r="C183" s="684" t="s">
        <v>816</v>
      </c>
    </row>
    <row r="184" spans="1:3" ht="48" x14ac:dyDescent="0.3">
      <c r="A184" s="697">
        <v>6</v>
      </c>
      <c r="B184" s="684" t="s">
        <v>699</v>
      </c>
      <c r="C184" s="684" t="s">
        <v>815</v>
      </c>
    </row>
    <row r="185" spans="1:3" x14ac:dyDescent="0.3">
      <c r="A185" s="699"/>
      <c r="B185" s="984" t="s">
        <v>814</v>
      </c>
      <c r="C185" s="985"/>
    </row>
    <row r="186" spans="1:3" x14ac:dyDescent="0.3">
      <c r="A186" s="699"/>
      <c r="B186" s="991" t="s">
        <v>813</v>
      </c>
      <c r="C186" s="986"/>
    </row>
    <row r="187" spans="1:3" ht="24" x14ac:dyDescent="0.3">
      <c r="A187" s="699">
        <v>1.1000000000000001</v>
      </c>
      <c r="B187" s="712" t="s">
        <v>709</v>
      </c>
      <c r="C187" s="684" t="s">
        <v>812</v>
      </c>
    </row>
    <row r="188" spans="1:3" ht="49.95" customHeight="1" x14ac:dyDescent="0.3">
      <c r="A188" s="699" t="s">
        <v>233</v>
      </c>
      <c r="B188" s="690" t="s">
        <v>710</v>
      </c>
      <c r="C188" s="684" t="s">
        <v>811</v>
      </c>
    </row>
    <row r="189" spans="1:3" x14ac:dyDescent="0.3">
      <c r="A189" s="699" t="s">
        <v>711</v>
      </c>
      <c r="B189" s="711" t="s">
        <v>712</v>
      </c>
      <c r="C189" s="950" t="s">
        <v>810</v>
      </c>
    </row>
    <row r="190" spans="1:3" x14ac:dyDescent="0.3">
      <c r="A190" s="699" t="s">
        <v>713</v>
      </c>
      <c r="B190" s="711" t="s">
        <v>714</v>
      </c>
      <c r="C190" s="950"/>
    </row>
    <row r="191" spans="1:3" x14ac:dyDescent="0.3">
      <c r="A191" s="699" t="s">
        <v>715</v>
      </c>
      <c r="B191" s="711" t="s">
        <v>716</v>
      </c>
      <c r="C191" s="950"/>
    </row>
    <row r="192" spans="1:3" x14ac:dyDescent="0.3">
      <c r="A192" s="699" t="s">
        <v>717</v>
      </c>
      <c r="B192" s="711" t="s">
        <v>718</v>
      </c>
      <c r="C192" s="950"/>
    </row>
    <row r="193" spans="1:4" ht="25.5" customHeight="1" x14ac:dyDescent="0.3">
      <c r="A193" s="699">
        <v>1.2</v>
      </c>
      <c r="B193" s="710" t="s">
        <v>719</v>
      </c>
      <c r="C193" s="685" t="s">
        <v>809</v>
      </c>
    </row>
    <row r="194" spans="1:4" ht="24" x14ac:dyDescent="0.3">
      <c r="A194" s="699" t="s">
        <v>721</v>
      </c>
      <c r="B194" s="703" t="s">
        <v>722</v>
      </c>
      <c r="C194" s="708" t="s">
        <v>808</v>
      </c>
    </row>
    <row r="195" spans="1:4" ht="24" x14ac:dyDescent="0.3">
      <c r="A195" s="699" t="s">
        <v>723</v>
      </c>
      <c r="B195" s="709" t="s">
        <v>724</v>
      </c>
      <c r="C195" s="708" t="s">
        <v>807</v>
      </c>
    </row>
    <row r="196" spans="1:4" ht="25.95" customHeight="1" x14ac:dyDescent="0.3">
      <c r="A196" s="699" t="s">
        <v>725</v>
      </c>
      <c r="B196" s="707" t="s">
        <v>726</v>
      </c>
      <c r="C196" s="683" t="s">
        <v>806</v>
      </c>
    </row>
    <row r="197" spans="1:4" ht="24" x14ac:dyDescent="0.3">
      <c r="A197" s="699" t="s">
        <v>727</v>
      </c>
      <c r="B197" s="706" t="s">
        <v>728</v>
      </c>
      <c r="C197" s="683" t="s">
        <v>805</v>
      </c>
      <c r="D197" s="705"/>
    </row>
    <row r="198" spans="1:4" ht="12.6" x14ac:dyDescent="0.3">
      <c r="A198" s="699">
        <v>1.4</v>
      </c>
      <c r="B198" s="703" t="s">
        <v>729</v>
      </c>
      <c r="C198" s="702" t="s">
        <v>804</v>
      </c>
      <c r="D198" s="704"/>
    </row>
    <row r="199" spans="1:4" ht="12.6" x14ac:dyDescent="0.3">
      <c r="A199" s="699">
        <v>1.5</v>
      </c>
      <c r="B199" s="703" t="s">
        <v>730</v>
      </c>
      <c r="C199" s="702" t="s">
        <v>804</v>
      </c>
      <c r="D199" s="700"/>
    </row>
    <row r="200" spans="1:4" ht="12.6" x14ac:dyDescent="0.3">
      <c r="A200" s="699"/>
      <c r="B200" s="978" t="s">
        <v>803</v>
      </c>
      <c r="C200" s="978"/>
      <c r="D200" s="700"/>
    </row>
    <row r="201" spans="1:4" ht="12.6" x14ac:dyDescent="0.3">
      <c r="A201" s="699"/>
      <c r="B201" s="991" t="s">
        <v>802</v>
      </c>
      <c r="C201" s="991"/>
      <c r="D201" s="700"/>
    </row>
    <row r="202" spans="1:4" ht="12.6" x14ac:dyDescent="0.3">
      <c r="A202" s="697"/>
      <c r="B202" s="683" t="s">
        <v>801</v>
      </c>
      <c r="C202" s="701" t="s">
        <v>800</v>
      </c>
      <c r="D202" s="700"/>
    </row>
    <row r="203" spans="1:4" ht="12.6" x14ac:dyDescent="0.3">
      <c r="A203" s="699"/>
      <c r="B203" s="978" t="s">
        <v>799</v>
      </c>
      <c r="C203" s="978"/>
      <c r="D203" s="698"/>
    </row>
    <row r="204" spans="1:4" ht="12.6" x14ac:dyDescent="0.3">
      <c r="A204" s="697"/>
      <c r="B204" s="991" t="s">
        <v>798</v>
      </c>
      <c r="C204" s="991"/>
      <c r="D204" s="695"/>
    </row>
    <row r="205" spans="1:4" ht="12.6" x14ac:dyDescent="0.3">
      <c r="B205" s="978" t="s">
        <v>797</v>
      </c>
      <c r="C205" s="978"/>
      <c r="D205" s="694"/>
    </row>
    <row r="206" spans="1:4" ht="24" x14ac:dyDescent="0.3">
      <c r="A206" s="690">
        <v>1</v>
      </c>
      <c r="B206" s="683" t="s">
        <v>759</v>
      </c>
      <c r="C206" s="683" t="s">
        <v>796</v>
      </c>
      <c r="D206" s="695"/>
    </row>
    <row r="207" spans="1:4" ht="18" customHeight="1" x14ac:dyDescent="0.3">
      <c r="A207" s="690">
        <v>2</v>
      </c>
      <c r="B207" s="683" t="s">
        <v>628</v>
      </c>
      <c r="C207" s="683" t="s">
        <v>795</v>
      </c>
      <c r="D207" s="694"/>
    </row>
    <row r="208" spans="1:4" ht="24" x14ac:dyDescent="0.3">
      <c r="A208" s="690">
        <v>3</v>
      </c>
      <c r="B208" s="683" t="s">
        <v>760</v>
      </c>
      <c r="C208" s="683" t="s">
        <v>794</v>
      </c>
      <c r="D208" s="693"/>
    </row>
    <row r="209" spans="1:4" ht="12.6" x14ac:dyDescent="0.3">
      <c r="A209" s="690">
        <v>4</v>
      </c>
      <c r="B209" s="683" t="s">
        <v>761</v>
      </c>
      <c r="C209" s="683" t="s">
        <v>793</v>
      </c>
      <c r="D209" s="693"/>
    </row>
    <row r="210" spans="1:4" ht="24" x14ac:dyDescent="0.3">
      <c r="A210" s="690">
        <v>5</v>
      </c>
      <c r="B210" s="683" t="s">
        <v>762</v>
      </c>
      <c r="C210" s="683" t="s">
        <v>792</v>
      </c>
    </row>
    <row r="211" spans="1:4" ht="24.45" customHeight="1" x14ac:dyDescent="0.3">
      <c r="A211" s="690">
        <v>6</v>
      </c>
      <c r="B211" s="683" t="s">
        <v>763</v>
      </c>
      <c r="C211" s="683" t="s">
        <v>791</v>
      </c>
    </row>
    <row r="212" spans="1:4" ht="24" x14ac:dyDescent="0.3">
      <c r="A212" s="690">
        <v>7</v>
      </c>
      <c r="B212" s="683" t="s">
        <v>764</v>
      </c>
      <c r="C212" s="683" t="s">
        <v>790</v>
      </c>
    </row>
    <row r="213" spans="1:4" x14ac:dyDescent="0.3">
      <c r="A213" s="690">
        <v>7.1</v>
      </c>
      <c r="B213" s="692" t="s">
        <v>765</v>
      </c>
      <c r="C213" s="683" t="s">
        <v>789</v>
      </c>
    </row>
    <row r="214" spans="1:4" x14ac:dyDescent="0.3">
      <c r="A214" s="690">
        <v>7.2</v>
      </c>
      <c r="B214" s="692" t="s">
        <v>767</v>
      </c>
      <c r="C214" s="683" t="s">
        <v>788</v>
      </c>
    </row>
    <row r="215" spans="1:4" x14ac:dyDescent="0.3">
      <c r="A215" s="690">
        <v>7.3</v>
      </c>
      <c r="B215" s="691" t="s">
        <v>769</v>
      </c>
      <c r="C215" s="683" t="s">
        <v>787</v>
      </c>
    </row>
    <row r="216" spans="1:4" ht="39.450000000000003" customHeight="1" x14ac:dyDescent="0.3">
      <c r="A216" s="690">
        <v>8</v>
      </c>
      <c r="B216" s="683" t="s">
        <v>771</v>
      </c>
      <c r="C216" s="683" t="s">
        <v>786</v>
      </c>
    </row>
    <row r="217" spans="1:4" x14ac:dyDescent="0.3">
      <c r="A217" s="690">
        <v>9</v>
      </c>
      <c r="B217" s="683" t="s">
        <v>772</v>
      </c>
      <c r="C217" s="683" t="s">
        <v>785</v>
      </c>
    </row>
    <row r="218" spans="1:4" x14ac:dyDescent="0.3">
      <c r="A218" s="689">
        <v>10.1</v>
      </c>
      <c r="B218" s="688" t="s">
        <v>784</v>
      </c>
      <c r="C218" s="687" t="s">
        <v>783</v>
      </c>
    </row>
    <row r="219" spans="1:4" x14ac:dyDescent="0.3">
      <c r="A219" s="992"/>
      <c r="B219" s="686" t="s">
        <v>753</v>
      </c>
      <c r="C219" s="683" t="s">
        <v>782</v>
      </c>
    </row>
    <row r="220" spans="1:4" x14ac:dyDescent="0.3">
      <c r="A220" s="992"/>
      <c r="B220" s="684" t="s">
        <v>703</v>
      </c>
      <c r="C220" s="683" t="s">
        <v>781</v>
      </c>
    </row>
    <row r="221" spans="1:4" x14ac:dyDescent="0.3">
      <c r="A221" s="992"/>
      <c r="B221" s="684" t="s">
        <v>608</v>
      </c>
      <c r="C221" s="685" t="s">
        <v>780</v>
      </c>
    </row>
    <row r="222" spans="1:4" x14ac:dyDescent="0.3">
      <c r="A222" s="992"/>
      <c r="B222" s="684" t="s">
        <v>754</v>
      </c>
      <c r="C222" s="683" t="s">
        <v>779</v>
      </c>
    </row>
    <row r="223" spans="1:4" ht="24" x14ac:dyDescent="0.3">
      <c r="A223" s="992"/>
      <c r="B223" s="684" t="s">
        <v>755</v>
      </c>
      <c r="C223" s="684" t="s">
        <v>778</v>
      </c>
    </row>
    <row r="224" spans="1:4" ht="36" x14ac:dyDescent="0.3">
      <c r="A224" s="992"/>
      <c r="B224" s="684" t="s">
        <v>756</v>
      </c>
      <c r="C224" s="683" t="s">
        <v>777</v>
      </c>
    </row>
    <row r="225" spans="1:3" x14ac:dyDescent="0.3">
      <c r="A225" s="992"/>
      <c r="B225" s="684" t="s">
        <v>757</v>
      </c>
      <c r="C225" s="683" t="s">
        <v>776</v>
      </c>
    </row>
    <row r="226" spans="1:3" ht="24" x14ac:dyDescent="0.3">
      <c r="A226" s="992"/>
      <c r="B226" s="684" t="s">
        <v>758</v>
      </c>
      <c r="C226" s="683" t="s">
        <v>775</v>
      </c>
    </row>
    <row r="227" spans="1:3" ht="12.6" x14ac:dyDescent="0.3">
      <c r="A227" s="681"/>
      <c r="B227" s="682"/>
      <c r="C227" s="677"/>
    </row>
    <row r="228" spans="1:3" ht="12.6" x14ac:dyDescent="0.3">
      <c r="A228" s="681"/>
      <c r="B228" s="677"/>
      <c r="C228" s="677"/>
    </row>
    <row r="229" spans="1:3" ht="12.6" x14ac:dyDescent="0.3">
      <c r="A229" s="681"/>
      <c r="B229" s="677"/>
      <c r="C229" s="677"/>
    </row>
    <row r="230" spans="1:3" ht="12.6" x14ac:dyDescent="0.3">
      <c r="A230" s="681"/>
      <c r="B230" s="680"/>
      <c r="C230" s="677"/>
    </row>
    <row r="231" spans="1:3" x14ac:dyDescent="0.3">
      <c r="A231" s="990"/>
      <c r="B231" s="678"/>
      <c r="C231" s="677"/>
    </row>
    <row r="232" spans="1:3" x14ac:dyDescent="0.3">
      <c r="A232" s="990"/>
      <c r="B232" s="678"/>
      <c r="C232" s="677"/>
    </row>
    <row r="233" spans="1:3" x14ac:dyDescent="0.3">
      <c r="A233" s="990"/>
      <c r="B233" s="678"/>
      <c r="C233" s="677"/>
    </row>
    <row r="234" spans="1:3" x14ac:dyDescent="0.3">
      <c r="A234" s="990"/>
      <c r="B234" s="678"/>
      <c r="C234" s="679"/>
    </row>
    <row r="235" spans="1:3" ht="40.5" customHeight="1" x14ac:dyDescent="0.3">
      <c r="A235" s="990"/>
      <c r="B235" s="678"/>
      <c r="C235" s="677"/>
    </row>
    <row r="236" spans="1:3" ht="24" customHeight="1" x14ac:dyDescent="0.3">
      <c r="A236" s="990"/>
      <c r="B236" s="678"/>
      <c r="C236" s="677"/>
    </row>
    <row r="237" spans="1:3" x14ac:dyDescent="0.3">
      <c r="A237" s="990"/>
      <c r="B237" s="678"/>
      <c r="C237" s="677"/>
    </row>
  </sheetData>
  <mergeCells count="133">
    <mergeCell ref="A231:A237"/>
    <mergeCell ref="B177:C177"/>
    <mergeCell ref="B178:C178"/>
    <mergeCell ref="B185:C185"/>
    <mergeCell ref="B186:C186"/>
    <mergeCell ref="C189:C192"/>
    <mergeCell ref="B200:C200"/>
    <mergeCell ref="B201:C201"/>
    <mergeCell ref="B158:C158"/>
    <mergeCell ref="B160:C160"/>
    <mergeCell ref="B161:C161"/>
    <mergeCell ref="B203:C203"/>
    <mergeCell ref="B204:C204"/>
    <mergeCell ref="B205:C205"/>
    <mergeCell ref="A219:A226"/>
    <mergeCell ref="B111:C111"/>
    <mergeCell ref="A112:C112"/>
    <mergeCell ref="A113:C113"/>
    <mergeCell ref="B114:C114"/>
    <mergeCell ref="B115:C115"/>
    <mergeCell ref="B116:C116"/>
    <mergeCell ref="B153:C153"/>
    <mergeCell ref="B154:C154"/>
    <mergeCell ref="B117:C117"/>
    <mergeCell ref="B119:C119"/>
    <mergeCell ref="B120:C120"/>
    <mergeCell ref="B149:C149"/>
    <mergeCell ref="B150:C150"/>
    <mergeCell ref="B151:C151"/>
    <mergeCell ref="B152:C152"/>
    <mergeCell ref="B95:C95"/>
    <mergeCell ref="B96:C96"/>
    <mergeCell ref="A97:C97"/>
    <mergeCell ref="A98:C98"/>
    <mergeCell ref="A106:C106"/>
    <mergeCell ref="B107:C107"/>
    <mergeCell ref="A108:C108"/>
    <mergeCell ref="B109:C109"/>
    <mergeCell ref="B110:C110"/>
    <mergeCell ref="B86:C86"/>
    <mergeCell ref="B87:C87"/>
    <mergeCell ref="B88:C88"/>
    <mergeCell ref="A89:C89"/>
    <mergeCell ref="B90:C90"/>
    <mergeCell ref="B91:C91"/>
    <mergeCell ref="B92:C92"/>
    <mergeCell ref="B93:C93"/>
    <mergeCell ref="B94:C94"/>
    <mergeCell ref="A77:C77"/>
    <mergeCell ref="B78:C78"/>
    <mergeCell ref="B79:C79"/>
    <mergeCell ref="B80:C80"/>
    <mergeCell ref="A81:C81"/>
    <mergeCell ref="B82:C82"/>
    <mergeCell ref="B83:C83"/>
    <mergeCell ref="B84:C84"/>
    <mergeCell ref="B85:C85"/>
    <mergeCell ref="A68:C68"/>
    <mergeCell ref="B69:C69"/>
    <mergeCell ref="B70:C70"/>
    <mergeCell ref="B71:C71"/>
    <mergeCell ref="B72:C72"/>
    <mergeCell ref="B73:C73"/>
    <mergeCell ref="B74:C74"/>
    <mergeCell ref="B75:C75"/>
    <mergeCell ref="B76:C76"/>
    <mergeCell ref="B52:C52"/>
    <mergeCell ref="B53:C53"/>
    <mergeCell ref="A66:C66"/>
    <mergeCell ref="B67:C67"/>
    <mergeCell ref="A54:C54"/>
    <mergeCell ref="B55:C55"/>
    <mergeCell ref="B56:C56"/>
    <mergeCell ref="B57:C57"/>
    <mergeCell ref="B58:C58"/>
    <mergeCell ref="B59:C59"/>
    <mergeCell ref="B60:C60"/>
    <mergeCell ref="B61:C61"/>
    <mergeCell ref="B62:C62"/>
    <mergeCell ref="B63:C63"/>
    <mergeCell ref="A64:C64"/>
    <mergeCell ref="B65:C65"/>
    <mergeCell ref="B43:C43"/>
    <mergeCell ref="B44:C44"/>
    <mergeCell ref="A45:C45"/>
    <mergeCell ref="B46:C46"/>
    <mergeCell ref="A47:C47"/>
    <mergeCell ref="B48:C48"/>
    <mergeCell ref="B49:C49"/>
    <mergeCell ref="B50:C50"/>
    <mergeCell ref="B51:C51"/>
    <mergeCell ref="B37:C37"/>
    <mergeCell ref="B38:C38"/>
    <mergeCell ref="B40:C40"/>
    <mergeCell ref="A41:C41"/>
    <mergeCell ref="B35:C35"/>
    <mergeCell ref="B33:C33"/>
    <mergeCell ref="B36:C36"/>
    <mergeCell ref="B39:C39"/>
    <mergeCell ref="B42:C42"/>
    <mergeCell ref="B31:C31"/>
    <mergeCell ref="B32:C32"/>
    <mergeCell ref="B34:C34"/>
    <mergeCell ref="A1:C1"/>
    <mergeCell ref="B2:C2"/>
    <mergeCell ref="B3:C3"/>
    <mergeCell ref="A4:C4"/>
    <mergeCell ref="B5:C5"/>
    <mergeCell ref="B6:C6"/>
    <mergeCell ref="B19:C19"/>
    <mergeCell ref="B22:C22"/>
    <mergeCell ref="B23:C23"/>
    <mergeCell ref="B24:C24"/>
    <mergeCell ref="B16:C16"/>
    <mergeCell ref="B17:C17"/>
    <mergeCell ref="B18:C18"/>
    <mergeCell ref="B20:C20"/>
    <mergeCell ref="B21:C21"/>
    <mergeCell ref="B25:C25"/>
    <mergeCell ref="A26:C26"/>
    <mergeCell ref="B27:C27"/>
    <mergeCell ref="A28:C28"/>
    <mergeCell ref="B29:C29"/>
    <mergeCell ref="B30:C30"/>
    <mergeCell ref="B13:C13"/>
    <mergeCell ref="B14:C14"/>
    <mergeCell ref="B15:C15"/>
    <mergeCell ref="B7:C7"/>
    <mergeCell ref="B8:C8"/>
    <mergeCell ref="B9:C9"/>
    <mergeCell ref="B10:C10"/>
    <mergeCell ref="B11:C11"/>
    <mergeCell ref="B12:C12"/>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2025-04-29T12:13:15Z</dcterms:created>
  <dcterms:modified xsi:type="dcterms:W3CDTF">2025-04-30T15:23:43Z</dcterms:modified>
</cp:coreProperties>
</file>