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i.potskhverashvili\Desktop\pilar 3 (new forms)\2 q. 2023\"/>
    </mc:Choice>
  </mc:AlternateContent>
  <xr:revisionPtr revIDLastSave="0" documentId="13_ncr:1_{DF9FF13D-4C84-406A-AC3A-937B42C41553}" xr6:coauthVersionLast="47" xr6:coauthVersionMax="47" xr10:uidLastSave="{00000000-0000-0000-0000-000000000000}"/>
  <bookViews>
    <workbookView xWindow="-120" yWindow="-120" windowWidth="29040" windowHeight="15840" tabRatio="968" firstSheet="14" activeTab="28" xr2:uid="{4F6B3B77-A086-4526-BD30-F4452374E41D}"/>
  </bookViews>
  <sheets>
    <sheet name="Info" sheetId="1" r:id="rId1"/>
    <sheet name="1. key ratios" sheetId="2" r:id="rId2"/>
    <sheet name="2. SOFP" sheetId="3" r:id="rId3"/>
    <sheet name="3. SOPL" sheetId="4" r:id="rId4"/>
    <sheet name="4. Off-balance" sheetId="5" r:id="rId5"/>
    <sheet name="5. RWA" sheetId="6" r:id="rId6"/>
    <sheet name="6. Administrators-shareholders" sheetId="7" r:id="rId7"/>
    <sheet name="7. LI1" sheetId="8" r:id="rId8"/>
    <sheet name="8. LI2" sheetId="9" r:id="rId9"/>
    <sheet name="9. Capital" sheetId="10" r:id="rId10"/>
    <sheet name="9.1. Capital Requirements" sheetId="11" r:id="rId11"/>
    <sheet name="10. CC2" sheetId="12" r:id="rId12"/>
    <sheet name="11. CRWA" sheetId="13" r:id="rId13"/>
    <sheet name="12. CRM" sheetId="14" r:id="rId14"/>
    <sheet name="13. CRME" sheetId="15" r:id="rId15"/>
    <sheet name="14. LCR" sheetId="16" r:id="rId16"/>
    <sheet name="15. CCR" sheetId="17" r:id="rId17"/>
    <sheet name="15.1. LR" sheetId="18" r:id="rId18"/>
    <sheet name="16. NSFR" sheetId="19" r:id="rId19"/>
    <sheet name=" 17. Residual Maturity" sheetId="20" r:id="rId20"/>
    <sheet name="18. Assets by Exposure classes" sheetId="21" r:id="rId21"/>
    <sheet name="19. Assets by Risk Sectors" sheetId="22" r:id="rId22"/>
    <sheet name="20. Reserves" sheetId="23" r:id="rId23"/>
    <sheet name="21. NPL" sheetId="24" r:id="rId24"/>
    <sheet name="22. Quality" sheetId="25" r:id="rId25"/>
    <sheet name="23. LTV" sheetId="26" r:id="rId26"/>
    <sheet name="24. Risk Sector" sheetId="27" r:id="rId27"/>
    <sheet name="25. Collateral" sheetId="28" r:id="rId28"/>
    <sheet name="26. Retail Products" sheetId="29" r:id="rId29"/>
  </sheets>
  <definedNames>
    <definedName name="_cur1">#REF!</definedName>
    <definedName name="_cur2">#REF!</definedName>
    <definedName name="_xlnm._FilterDatabase" localSheetId="9" hidden="1">'9. Capital'!$A$5:$F$53</definedName>
    <definedName name="_Key1" hidden="1">#REF!</definedName>
    <definedName name="_Order1" hidden="1">255</definedName>
    <definedName name="_Order2" hidden="1">255</definedName>
    <definedName name="_Parse_In" hidden="1">#REF!</definedName>
    <definedName name="_Sort" hidden="1">#REF!</definedName>
    <definedName name="_sum1">#REF!</definedName>
    <definedName name="_sum2">#REF!</definedName>
    <definedName name="a" hidden="1">#REF!</definedName>
    <definedName name="aaaaaaaaa" hidden="1">#REF!</definedName>
    <definedName name="ACC_BALACC" localSheetId="19">#REF!</definedName>
    <definedName name="ACC_BALACC" localSheetId="2">#REF!</definedName>
    <definedName name="ACC_BALACC" localSheetId="23">#REF!</definedName>
    <definedName name="ACC_BALACC" localSheetId="24">#REF!</definedName>
    <definedName name="ACC_BALACC" localSheetId="25">#REF!</definedName>
    <definedName name="ACC_BALACC" localSheetId="26">#REF!</definedName>
    <definedName name="ACC_BALACC" localSheetId="3">#REF!</definedName>
    <definedName name="ACC_BALACC" localSheetId="4">#REF!</definedName>
    <definedName name="ACC_BALACC" localSheetId="10">#REF!</definedName>
    <definedName name="ACC_BALACC">#REF!</definedName>
    <definedName name="ACC_CRS" localSheetId="19">#REF!</definedName>
    <definedName name="ACC_CRS" localSheetId="2">#REF!</definedName>
    <definedName name="ACC_CRS" localSheetId="23">#REF!</definedName>
    <definedName name="ACC_CRS" localSheetId="24">#REF!</definedName>
    <definedName name="ACC_CRS" localSheetId="25">#REF!</definedName>
    <definedName name="ACC_CRS" localSheetId="26">#REF!</definedName>
    <definedName name="ACC_CRS" localSheetId="3">#REF!</definedName>
    <definedName name="ACC_CRS" localSheetId="4">#REF!</definedName>
    <definedName name="ACC_CRS" localSheetId="10">#REF!</definedName>
    <definedName name="ACC_CRS">#REF!</definedName>
    <definedName name="ACC_DBS" localSheetId="19">#REF!</definedName>
    <definedName name="ACC_DBS" localSheetId="2">#REF!</definedName>
    <definedName name="ACC_DBS" localSheetId="23">#REF!</definedName>
    <definedName name="ACC_DBS" localSheetId="24">#REF!</definedName>
    <definedName name="ACC_DBS" localSheetId="25">#REF!</definedName>
    <definedName name="ACC_DBS" localSheetId="26">#REF!</definedName>
    <definedName name="ACC_DBS" localSheetId="3">#REF!</definedName>
    <definedName name="ACC_DBS" localSheetId="4">#REF!</definedName>
    <definedName name="ACC_DBS" localSheetId="10">#REF!</definedName>
    <definedName name="ACC_DBS">#REF!</definedName>
    <definedName name="ACC_ISO" localSheetId="19">#REF!</definedName>
    <definedName name="ACC_ISO" localSheetId="2">#REF!</definedName>
    <definedName name="ACC_ISO" localSheetId="23">#REF!</definedName>
    <definedName name="ACC_ISO" localSheetId="24">#REF!</definedName>
    <definedName name="ACC_ISO" localSheetId="25">#REF!</definedName>
    <definedName name="ACC_ISO" localSheetId="26">#REF!</definedName>
    <definedName name="ACC_ISO" localSheetId="3">#REF!</definedName>
    <definedName name="ACC_ISO" localSheetId="4">#REF!</definedName>
    <definedName name="ACC_ISO" localSheetId="10">#REF!</definedName>
    <definedName name="ACC_ISO">#REF!</definedName>
    <definedName name="ACC_SALDO" localSheetId="19">#REF!</definedName>
    <definedName name="ACC_SALDO" localSheetId="2">#REF!</definedName>
    <definedName name="ACC_SALDO" localSheetId="23">#REF!</definedName>
    <definedName name="ACC_SALDO" localSheetId="24">#REF!</definedName>
    <definedName name="ACC_SALDO" localSheetId="25">#REF!</definedName>
    <definedName name="ACC_SALDO" localSheetId="26">#REF!</definedName>
    <definedName name="ACC_SALDO" localSheetId="3">#REF!</definedName>
    <definedName name="ACC_SALDO" localSheetId="4">#REF!</definedName>
    <definedName name="ACC_SALDO" localSheetId="10">#REF!</definedName>
    <definedName name="ACC_SALDO">#REF!</definedName>
    <definedName name="acctype">#REF!</definedName>
    <definedName name="ana"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BA_Demand_Deposits_Res_Ind">#REF!</definedName>
    <definedName name="BALACC">#REF!</definedName>
    <definedName name="BG_Del" hidden="1">15</definedName>
    <definedName name="BG_Ins" hidden="1">4</definedName>
    <definedName name="BG_Mod" hidden="1">6</definedName>
    <definedName name="BS_BALACC" localSheetId="19">#REF!</definedName>
    <definedName name="BS_BALACC" localSheetId="2">#REF!</definedName>
    <definedName name="BS_BALACC" localSheetId="23">#REF!</definedName>
    <definedName name="BS_BALACC" localSheetId="24">#REF!</definedName>
    <definedName name="BS_BALACC" localSheetId="25">#REF!</definedName>
    <definedName name="BS_BALACC" localSheetId="26">#REF!</definedName>
    <definedName name="BS_BALACC" localSheetId="3">#REF!</definedName>
    <definedName name="BS_BALACC" localSheetId="4">#REF!</definedName>
    <definedName name="BS_BALACC" localSheetId="10">#REF!</definedName>
    <definedName name="BS_BALACC">#REF!</definedName>
    <definedName name="BS_BALANCE" localSheetId="19">#REF!</definedName>
    <definedName name="BS_BALANCE" localSheetId="2">#REF!</definedName>
    <definedName name="BS_BALANCE" localSheetId="23">#REF!</definedName>
    <definedName name="BS_BALANCE" localSheetId="24">#REF!</definedName>
    <definedName name="BS_BALANCE" localSheetId="25">#REF!</definedName>
    <definedName name="BS_BALANCE" localSheetId="26">#REF!</definedName>
    <definedName name="BS_BALANCE" localSheetId="3">#REF!</definedName>
    <definedName name="BS_BALANCE" localSheetId="4">#REF!</definedName>
    <definedName name="BS_BALANCE" localSheetId="10">#REF!</definedName>
    <definedName name="BS_BALANCE">#REF!</definedName>
    <definedName name="BS_CR" localSheetId="19">#REF!</definedName>
    <definedName name="BS_CR" localSheetId="2">#REF!</definedName>
    <definedName name="BS_CR" localSheetId="23">#REF!</definedName>
    <definedName name="BS_CR" localSheetId="24">#REF!</definedName>
    <definedName name="BS_CR" localSheetId="25">#REF!</definedName>
    <definedName name="BS_CR" localSheetId="26">#REF!</definedName>
    <definedName name="BS_CR" localSheetId="3">#REF!</definedName>
    <definedName name="BS_CR" localSheetId="4">#REF!</definedName>
    <definedName name="BS_CR" localSheetId="10">#REF!</definedName>
    <definedName name="BS_CR">#REF!</definedName>
    <definedName name="BS_CR_EQU" localSheetId="19">#REF!</definedName>
    <definedName name="BS_CR_EQU" localSheetId="2">#REF!</definedName>
    <definedName name="BS_CR_EQU" localSheetId="23">#REF!</definedName>
    <definedName name="BS_CR_EQU" localSheetId="24">#REF!</definedName>
    <definedName name="BS_CR_EQU" localSheetId="25">#REF!</definedName>
    <definedName name="BS_CR_EQU" localSheetId="26">#REF!</definedName>
    <definedName name="BS_CR_EQU" localSheetId="3">#REF!</definedName>
    <definedName name="BS_CR_EQU" localSheetId="4">#REF!</definedName>
    <definedName name="BS_CR_EQU" localSheetId="10">#REF!</definedName>
    <definedName name="BS_CR_EQU">#REF!</definedName>
    <definedName name="BS_DB" localSheetId="19">#REF!</definedName>
    <definedName name="BS_DB" localSheetId="2">#REF!</definedName>
    <definedName name="BS_DB" localSheetId="23">#REF!</definedName>
    <definedName name="BS_DB" localSheetId="24">#REF!</definedName>
    <definedName name="BS_DB" localSheetId="25">#REF!</definedName>
    <definedName name="BS_DB" localSheetId="26">#REF!</definedName>
    <definedName name="BS_DB" localSheetId="3">#REF!</definedName>
    <definedName name="BS_DB" localSheetId="4">#REF!</definedName>
    <definedName name="BS_DB" localSheetId="10">#REF!</definedName>
    <definedName name="BS_DB">#REF!</definedName>
    <definedName name="BS_DB_EQU" localSheetId="19">#REF!</definedName>
    <definedName name="BS_DB_EQU" localSheetId="2">#REF!</definedName>
    <definedName name="BS_DB_EQU" localSheetId="23">#REF!</definedName>
    <definedName name="BS_DB_EQU" localSheetId="24">#REF!</definedName>
    <definedName name="BS_DB_EQU" localSheetId="25">#REF!</definedName>
    <definedName name="BS_DB_EQU" localSheetId="26">#REF!</definedName>
    <definedName name="BS_DB_EQU" localSheetId="3">#REF!</definedName>
    <definedName name="BS_DB_EQU" localSheetId="4">#REF!</definedName>
    <definedName name="BS_DB_EQU" localSheetId="10">#REF!</definedName>
    <definedName name="BS_DB_EQU">#REF!</definedName>
    <definedName name="BS_DT" localSheetId="19">#REF!</definedName>
    <definedName name="BS_DT" localSheetId="2">#REF!</definedName>
    <definedName name="BS_DT" localSheetId="23">#REF!</definedName>
    <definedName name="BS_DT" localSheetId="24">#REF!</definedName>
    <definedName name="BS_DT" localSheetId="25">#REF!</definedName>
    <definedName name="BS_DT" localSheetId="26">#REF!</definedName>
    <definedName name="BS_DT" localSheetId="3">#REF!</definedName>
    <definedName name="BS_DT" localSheetId="4">#REF!</definedName>
    <definedName name="BS_DT" localSheetId="10">#REF!</definedName>
    <definedName name="BS_DT">#REF!</definedName>
    <definedName name="BS_ISO" localSheetId="19">#REF!</definedName>
    <definedName name="BS_ISO" localSheetId="2">#REF!</definedName>
    <definedName name="BS_ISO" localSheetId="23">#REF!</definedName>
    <definedName name="BS_ISO" localSheetId="24">#REF!</definedName>
    <definedName name="BS_ISO" localSheetId="25">#REF!</definedName>
    <definedName name="BS_ISO" localSheetId="26">#REF!</definedName>
    <definedName name="BS_ISO" localSheetId="3">#REF!</definedName>
    <definedName name="BS_ISO" localSheetId="4">#REF!</definedName>
    <definedName name="BS_ISO" localSheetId="10">#REF!</definedName>
    <definedName name="BS_ISO">#REF!</definedName>
    <definedName name="call">#REF!</definedName>
    <definedName name="convert">#REF!</definedName>
    <definedName name="Countries">#REF!</definedName>
    <definedName name="currencies">#REF!</definedName>
    <definedName name="CurrencyCodes">#REF!</definedName>
    <definedName name="CurrentDate" localSheetId="19">#REF!</definedName>
    <definedName name="CurrentDate" localSheetId="2">#REF!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3">#REF!</definedName>
    <definedName name="CurrentDate" localSheetId="4">#REF!</definedName>
    <definedName name="CurrentDate" localSheetId="10">#REF!</definedName>
    <definedName name="CurrentDate">#REF!</definedName>
    <definedName name="date">#REF!</definedName>
    <definedName name="date1">#REF!</definedName>
    <definedName name="dependency">#REF!</definedName>
    <definedName name="dfgdfg">#REF!</definedName>
    <definedName name="dfgh" hidden="1">#REF!</definedName>
    <definedName name="fghgh">#REF!</definedName>
    <definedName name="fintype">#REF!</definedName>
    <definedName name="fvgfbv">#REF!</definedName>
    <definedName name="jgjhg" hidden="1">#REF!</definedName>
    <definedName name="jgjhg1" hidden="1">#REF!</definedName>
    <definedName name="L_FORMULAS_GEO">#REF!</definedName>
    <definedName name="LDtype">#REF!</definedName>
    <definedName name="NDtype">#REF!</definedName>
    <definedName name="ÓÓÓÓÓÓÓÓ" hidden="1">#REF!</definedName>
    <definedName name="ÓÓÓÓÓÓÓÓÓÓÓÓÓÓÓ" hidden="1">#REF!</definedName>
    <definedName name="Q" hidden="1">#REF!</definedName>
    <definedName name="sdsss" hidden="1">#REF!</definedName>
    <definedName name="Sheet">#REF!</definedName>
    <definedName name="ss" hidden="1">#REF!</definedName>
    <definedName name="sub">#REF!</definedName>
    <definedName name="TextRefCopyRangeCount" hidden="1">3</definedName>
    <definedName name="wrn.Aging._.and._.Trend._.Analysis." hidden="1">{#N/A,#N/A,FALSE,"Aging Summary";#N/A,#N/A,FALSE,"Ratio Analysis";#N/A,#N/A,FALSE,"Test 120 Day Accts";#N/A,#N/A,FALSE,"Tickmarks"}</definedName>
    <definedName name="YesNo">#REF!</definedName>
    <definedName name="აა" hidden="1">#REF!</definedName>
    <definedName name="ს" hidden="1">#REF!</definedName>
    <definedName name="საკრედიტო">#REF!</definedName>
    <definedName name="სსს" hidden="1">#REF!</definedName>
    <definedName name="ფაილი">#REF!</definedName>
    <definedName name="ცვლილება_კორექტირება_რეგულაციაშ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5" l="1"/>
  <c r="C22" i="25"/>
  <c r="D15" i="25"/>
  <c r="C15" i="25"/>
  <c r="B2" i="29" l="1"/>
  <c r="B1" i="29"/>
  <c r="B2" i="28"/>
  <c r="B1" i="28"/>
  <c r="C18" i="24"/>
  <c r="B2" i="27"/>
  <c r="B1" i="27"/>
  <c r="B2" i="26"/>
  <c r="B1" i="26"/>
  <c r="B2" i="25"/>
  <c r="B1" i="25"/>
  <c r="C10" i="24"/>
  <c r="B2" i="24"/>
  <c r="B1" i="24"/>
  <c r="C10" i="23"/>
  <c r="D10" i="23"/>
  <c r="D7" i="23"/>
  <c r="C7" i="23"/>
  <c r="D15" i="23"/>
  <c r="B2" i="23"/>
  <c r="B1" i="23"/>
  <c r="G34" i="22"/>
  <c r="F34" i="22"/>
  <c r="H32" i="22"/>
  <c r="H29" i="22"/>
  <c r="H28" i="22"/>
  <c r="H25" i="22"/>
  <c r="H24" i="22"/>
  <c r="H21" i="22"/>
  <c r="H20" i="22"/>
  <c r="H17" i="22"/>
  <c r="H16" i="22"/>
  <c r="H13" i="22"/>
  <c r="H12" i="22"/>
  <c r="H11" i="22"/>
  <c r="H10" i="22"/>
  <c r="H9" i="22"/>
  <c r="H8" i="22"/>
  <c r="B2" i="22"/>
  <c r="B1" i="22"/>
  <c r="H23" i="21"/>
  <c r="H19" i="21"/>
  <c r="H18" i="21"/>
  <c r="H17" i="21"/>
  <c r="H15" i="21"/>
  <c r="H12" i="21"/>
  <c r="H11" i="21"/>
  <c r="H10" i="21"/>
  <c r="H9" i="21"/>
  <c r="H8" i="21"/>
  <c r="H7" i="21"/>
  <c r="B2" i="21"/>
  <c r="B1" i="21"/>
  <c r="H20" i="20"/>
  <c r="H19" i="20"/>
  <c r="H17" i="20"/>
  <c r="H16" i="20"/>
  <c r="H13" i="20"/>
  <c r="H12" i="20"/>
  <c r="H11" i="20"/>
  <c r="H10" i="20"/>
  <c r="H9" i="20"/>
  <c r="F22" i="20"/>
  <c r="E22" i="20"/>
  <c r="B2" i="20"/>
  <c r="B1" i="20"/>
  <c r="G36" i="19"/>
  <c r="D33" i="19"/>
  <c r="G34" i="19"/>
  <c r="E33" i="19"/>
  <c r="G31" i="19"/>
  <c r="G26" i="19"/>
  <c r="F24" i="19"/>
  <c r="E24" i="19"/>
  <c r="D24" i="19"/>
  <c r="C24" i="19"/>
  <c r="G19" i="19"/>
  <c r="F18" i="19"/>
  <c r="E18" i="19"/>
  <c r="D18" i="19"/>
  <c r="F14" i="19"/>
  <c r="G15" i="19"/>
  <c r="E14" i="19"/>
  <c r="L13" i="19"/>
  <c r="C11" i="19"/>
  <c r="E11" i="19"/>
  <c r="D11" i="19"/>
  <c r="F11" i="19"/>
  <c r="G10" i="19"/>
  <c r="F8" i="19"/>
  <c r="E8" i="19"/>
  <c r="D8" i="19"/>
  <c r="B2" i="19"/>
  <c r="B1" i="19"/>
  <c r="C30" i="18"/>
  <c r="C26" i="18"/>
  <c r="C8" i="18"/>
  <c r="B2" i="18"/>
  <c r="B1" i="18"/>
  <c r="G21" i="17"/>
  <c r="N20" i="17"/>
  <c r="N19" i="17"/>
  <c r="E19" i="17"/>
  <c r="N18" i="17"/>
  <c r="E18" i="17"/>
  <c r="N17" i="17"/>
  <c r="E17" i="17"/>
  <c r="N16" i="17"/>
  <c r="E16" i="17"/>
  <c r="N15" i="17"/>
  <c r="E15" i="17"/>
  <c r="M14" i="17"/>
  <c r="L14" i="17"/>
  <c r="K14" i="17"/>
  <c r="J14" i="17"/>
  <c r="I14" i="17"/>
  <c r="H14" i="17"/>
  <c r="G14" i="17"/>
  <c r="F14" i="17"/>
  <c r="E14" i="17"/>
  <c r="C14" i="17"/>
  <c r="N13" i="17"/>
  <c r="N12" i="17"/>
  <c r="E12" i="17"/>
  <c r="N11" i="17"/>
  <c r="E11" i="17"/>
  <c r="N10" i="17"/>
  <c r="E10" i="17"/>
  <c r="N9" i="17"/>
  <c r="E9" i="17"/>
  <c r="M7" i="17"/>
  <c r="L7" i="17"/>
  <c r="L21" i="17" s="1"/>
  <c r="J7" i="17"/>
  <c r="J21" i="17" s="1"/>
  <c r="I7" i="17"/>
  <c r="I21" i="17" s="1"/>
  <c r="H7" i="17"/>
  <c r="H21" i="17" s="1"/>
  <c r="G7" i="17"/>
  <c r="F7" i="17"/>
  <c r="F21" i="17" s="1"/>
  <c r="B2" i="17"/>
  <c r="B1" i="17"/>
  <c r="G25" i="16"/>
  <c r="J23" i="16"/>
  <c r="I23" i="16"/>
  <c r="G23" i="16"/>
  <c r="F23" i="16"/>
  <c r="F25" i="16" s="1"/>
  <c r="J21" i="16"/>
  <c r="I21" i="16"/>
  <c r="G21" i="16"/>
  <c r="H21" i="16" s="1"/>
  <c r="F21" i="16"/>
  <c r="D21" i="16"/>
  <c r="C21" i="16"/>
  <c r="K20" i="16"/>
  <c r="H20" i="16"/>
  <c r="E20" i="16"/>
  <c r="K19" i="16"/>
  <c r="K21" i="16" s="1"/>
  <c r="H19" i="16"/>
  <c r="E19" i="16"/>
  <c r="K18" i="16"/>
  <c r="H18" i="16"/>
  <c r="E18" i="16"/>
  <c r="E21" i="16" s="1"/>
  <c r="J16" i="16"/>
  <c r="J24" i="16" s="1"/>
  <c r="I16" i="16"/>
  <c r="I24" i="16" s="1"/>
  <c r="F16" i="16"/>
  <c r="H16" i="16" s="1"/>
  <c r="H24" i="16" s="1"/>
  <c r="E16" i="16"/>
  <c r="D16" i="16"/>
  <c r="C16" i="16"/>
  <c r="K15" i="16"/>
  <c r="H15" i="16"/>
  <c r="E15" i="16"/>
  <c r="K14" i="16"/>
  <c r="H14" i="16"/>
  <c r="E14" i="16"/>
  <c r="K13" i="16"/>
  <c r="H13" i="16"/>
  <c r="E13" i="16"/>
  <c r="K12" i="16"/>
  <c r="H12" i="16"/>
  <c r="E12" i="16"/>
  <c r="K11" i="16"/>
  <c r="H11" i="16"/>
  <c r="G11" i="16"/>
  <c r="G16" i="16" s="1"/>
  <c r="F11" i="16"/>
  <c r="E11" i="16"/>
  <c r="K10" i="16"/>
  <c r="K16" i="16" s="1"/>
  <c r="H10" i="16"/>
  <c r="E10" i="16"/>
  <c r="K8" i="16"/>
  <c r="K23" i="16" s="1"/>
  <c r="H8" i="16"/>
  <c r="H23" i="16" s="1"/>
  <c r="B2" i="16"/>
  <c r="B1" i="16"/>
  <c r="E22" i="15"/>
  <c r="D22" i="15"/>
  <c r="H21" i="15"/>
  <c r="H20" i="15"/>
  <c r="H19" i="15"/>
  <c r="H18" i="15"/>
  <c r="H17" i="15"/>
  <c r="H16" i="15"/>
  <c r="H15" i="15"/>
  <c r="H14" i="15"/>
  <c r="H13" i="15"/>
  <c r="H12" i="15"/>
  <c r="H11" i="15"/>
  <c r="H10" i="15"/>
  <c r="H9" i="15"/>
  <c r="H8" i="15"/>
  <c r="G22" i="15"/>
  <c r="F22" i="15"/>
  <c r="C22" i="15"/>
  <c r="B2" i="15"/>
  <c r="B1" i="15"/>
  <c r="U21" i="14"/>
  <c r="T21" i="14"/>
  <c r="S21" i="14"/>
  <c r="R21" i="14"/>
  <c r="Q21" i="14"/>
  <c r="P21" i="14"/>
  <c r="O21" i="14"/>
  <c r="N21" i="14"/>
  <c r="M21" i="14"/>
  <c r="L21" i="14"/>
  <c r="K21" i="14"/>
  <c r="J21" i="14"/>
  <c r="I21" i="14"/>
  <c r="H21" i="14"/>
  <c r="G21" i="14"/>
  <c r="F21" i="14"/>
  <c r="E21" i="14"/>
  <c r="D21" i="14"/>
  <c r="C21" i="14"/>
  <c r="V20" i="14"/>
  <c r="V19" i="14"/>
  <c r="V18" i="14"/>
  <c r="V17" i="14"/>
  <c r="V16" i="14"/>
  <c r="V15" i="14"/>
  <c r="V14" i="14"/>
  <c r="V13" i="14"/>
  <c r="V12" i="14"/>
  <c r="V11" i="14"/>
  <c r="V10" i="14"/>
  <c r="V9" i="14"/>
  <c r="V8" i="14"/>
  <c r="V7" i="14"/>
  <c r="V21" i="14" s="1"/>
  <c r="B2" i="14"/>
  <c r="B1" i="14"/>
  <c r="R22" i="13"/>
  <c r="P22" i="13"/>
  <c r="L22" i="13"/>
  <c r="J22" i="13"/>
  <c r="H22" i="13"/>
  <c r="F22" i="13"/>
  <c r="D22" i="13"/>
  <c r="S21" i="13"/>
  <c r="S20" i="13"/>
  <c r="S19" i="13"/>
  <c r="S18" i="13"/>
  <c r="S17" i="13"/>
  <c r="S16" i="13"/>
  <c r="S15" i="13"/>
  <c r="N22" i="13"/>
  <c r="S14" i="13"/>
  <c r="S13" i="13"/>
  <c r="S12" i="13"/>
  <c r="S11" i="13"/>
  <c r="S10" i="13"/>
  <c r="O22" i="13"/>
  <c r="G22" i="13"/>
  <c r="S9" i="13"/>
  <c r="Q22" i="13"/>
  <c r="M22" i="13"/>
  <c r="K22" i="13"/>
  <c r="I22" i="13"/>
  <c r="E22" i="13"/>
  <c r="B2" i="13"/>
  <c r="B1" i="13"/>
  <c r="B2" i="12"/>
  <c r="B1" i="12"/>
  <c r="C21" i="11"/>
  <c r="C20" i="11"/>
  <c r="C19" i="11"/>
  <c r="B2" i="11"/>
  <c r="B1" i="11"/>
  <c r="C48" i="10"/>
  <c r="C44" i="10"/>
  <c r="C53" i="10" s="1"/>
  <c r="C36" i="10"/>
  <c r="C32" i="10"/>
  <c r="C31" i="10"/>
  <c r="C42" i="10" s="1"/>
  <c r="B2" i="10"/>
  <c r="B1" i="10"/>
  <c r="B2" i="9"/>
  <c r="B1" i="9"/>
  <c r="D31" i="8"/>
  <c r="D25" i="8"/>
  <c r="D20" i="8"/>
  <c r="D16" i="8"/>
  <c r="D8" i="8"/>
  <c r="B2" i="8"/>
  <c r="B1" i="8"/>
  <c r="B2" i="7"/>
  <c r="B1" i="7"/>
  <c r="G6" i="6"/>
  <c r="G13" i="6" s="1"/>
  <c r="F6" i="6"/>
  <c r="F13" i="6" s="1"/>
  <c r="E6" i="6"/>
  <c r="E13" i="6" s="1"/>
  <c r="D6" i="6"/>
  <c r="D13" i="6" s="1"/>
  <c r="B2" i="6"/>
  <c r="E5" i="6" s="1"/>
  <c r="B1" i="6"/>
  <c r="H43" i="5"/>
  <c r="E43" i="5"/>
  <c r="H42" i="5"/>
  <c r="E42" i="5"/>
  <c r="H41" i="5"/>
  <c r="E41" i="5"/>
  <c r="H40" i="5"/>
  <c r="E40" i="5"/>
  <c r="H39" i="5"/>
  <c r="E39" i="5"/>
  <c r="G38" i="5"/>
  <c r="H38" i="5" s="1"/>
  <c r="F38" i="5"/>
  <c r="D38" i="5"/>
  <c r="C38" i="5"/>
  <c r="H37" i="5"/>
  <c r="E37" i="5"/>
  <c r="H36" i="5"/>
  <c r="E36" i="5"/>
  <c r="H35" i="5"/>
  <c r="E35" i="5"/>
  <c r="H34" i="5"/>
  <c r="E34" i="5"/>
  <c r="H33" i="5"/>
  <c r="E33" i="5"/>
  <c r="H32" i="5"/>
  <c r="H31" i="5"/>
  <c r="E31" i="5"/>
  <c r="G30" i="5"/>
  <c r="H30" i="5" s="1"/>
  <c r="F30" i="5"/>
  <c r="D30" i="5"/>
  <c r="H29" i="5"/>
  <c r="E29" i="5"/>
  <c r="H28" i="5"/>
  <c r="E28" i="5"/>
  <c r="H27" i="5"/>
  <c r="E27" i="5"/>
  <c r="H26" i="5"/>
  <c r="E26" i="5"/>
  <c r="H25" i="5"/>
  <c r="E25" i="5"/>
  <c r="H24" i="5"/>
  <c r="E24" i="5"/>
  <c r="H23" i="5"/>
  <c r="E23" i="5"/>
  <c r="H22" i="5"/>
  <c r="E22" i="5"/>
  <c r="H21" i="5"/>
  <c r="E21" i="5"/>
  <c r="H20" i="5"/>
  <c r="E20" i="5"/>
  <c r="H19" i="5"/>
  <c r="E19" i="5"/>
  <c r="H18" i="5"/>
  <c r="H17" i="5"/>
  <c r="H16" i="5"/>
  <c r="G14" i="5"/>
  <c r="E15" i="5"/>
  <c r="H13" i="5"/>
  <c r="E13" i="5"/>
  <c r="H12" i="5"/>
  <c r="G11" i="5"/>
  <c r="D11" i="5"/>
  <c r="F11" i="5"/>
  <c r="H11" i="5" s="1"/>
  <c r="H10" i="5"/>
  <c r="E10" i="5"/>
  <c r="E9" i="5"/>
  <c r="G8" i="5"/>
  <c r="D8" i="5"/>
  <c r="C8" i="5"/>
  <c r="H7" i="5"/>
  <c r="E7" i="5"/>
  <c r="H6" i="5"/>
  <c r="E6" i="5"/>
  <c r="B2" i="5"/>
  <c r="B1" i="5"/>
  <c r="H44" i="4"/>
  <c r="E44" i="4"/>
  <c r="H42" i="4"/>
  <c r="E42" i="4"/>
  <c r="H41" i="4"/>
  <c r="E41" i="4"/>
  <c r="H40" i="4"/>
  <c r="E40" i="4"/>
  <c r="H39" i="4"/>
  <c r="D37" i="4"/>
  <c r="H38" i="4"/>
  <c r="E38" i="4"/>
  <c r="G37" i="4"/>
  <c r="F37" i="4"/>
  <c r="H36" i="4"/>
  <c r="E36" i="4"/>
  <c r="H35" i="4"/>
  <c r="G34" i="4"/>
  <c r="F34" i="4"/>
  <c r="C34" i="4"/>
  <c r="H33" i="4"/>
  <c r="E33" i="4"/>
  <c r="H32" i="4"/>
  <c r="E32" i="4"/>
  <c r="H31" i="4"/>
  <c r="E31" i="4"/>
  <c r="D29" i="4"/>
  <c r="F29" i="4"/>
  <c r="E28" i="4"/>
  <c r="H27" i="4"/>
  <c r="H26" i="4"/>
  <c r="E26" i="4"/>
  <c r="H25" i="4"/>
  <c r="H24" i="4"/>
  <c r="E24" i="4"/>
  <c r="H23" i="4"/>
  <c r="E23" i="4"/>
  <c r="H22" i="4"/>
  <c r="E22" i="4"/>
  <c r="H21" i="4"/>
  <c r="E21" i="4"/>
  <c r="H20" i="4"/>
  <c r="E20" i="4"/>
  <c r="H19" i="4"/>
  <c r="H18" i="4"/>
  <c r="E18" i="4"/>
  <c r="H17" i="4"/>
  <c r="E17" i="4"/>
  <c r="G13" i="4"/>
  <c r="E16" i="4"/>
  <c r="H15" i="4"/>
  <c r="E15" i="4"/>
  <c r="H14" i="4"/>
  <c r="E14" i="4"/>
  <c r="D13" i="4"/>
  <c r="H12" i="4"/>
  <c r="E12" i="4"/>
  <c r="H11" i="4"/>
  <c r="H10" i="4"/>
  <c r="E10" i="4"/>
  <c r="H9" i="4"/>
  <c r="E9" i="4"/>
  <c r="H8" i="4"/>
  <c r="E8" i="4"/>
  <c r="H7" i="4"/>
  <c r="E7" i="4"/>
  <c r="G6" i="4"/>
  <c r="F6" i="4"/>
  <c r="C6" i="4"/>
  <c r="B2" i="4"/>
  <c r="B1" i="4"/>
  <c r="G68" i="3"/>
  <c r="H67" i="3"/>
  <c r="E67" i="3"/>
  <c r="H66" i="3"/>
  <c r="E66" i="3"/>
  <c r="C66" i="12" s="1"/>
  <c r="H65" i="3"/>
  <c r="E65" i="3"/>
  <c r="C65" i="12" s="1"/>
  <c r="H64" i="3"/>
  <c r="E64" i="3"/>
  <c r="C64" i="12" s="1"/>
  <c r="F63" i="3"/>
  <c r="H63" i="3" s="1"/>
  <c r="D63" i="3"/>
  <c r="C63" i="3"/>
  <c r="E63" i="3" s="1"/>
  <c r="H62" i="3"/>
  <c r="E62" i="3"/>
  <c r="C62" i="12" s="1"/>
  <c r="H61" i="3"/>
  <c r="E61" i="3"/>
  <c r="C61" i="12" s="1"/>
  <c r="H60" i="3"/>
  <c r="E60" i="3"/>
  <c r="C60" i="12" s="1"/>
  <c r="H59" i="3"/>
  <c r="D59" i="3"/>
  <c r="D68" i="3" s="1"/>
  <c r="C59" i="3"/>
  <c r="C68" i="3" s="1"/>
  <c r="H58" i="3"/>
  <c r="E58" i="3"/>
  <c r="C58" i="12" s="1"/>
  <c r="H57" i="3"/>
  <c r="E57" i="3"/>
  <c r="C57" i="12" s="1"/>
  <c r="H56" i="3"/>
  <c r="E56" i="3"/>
  <c r="C56" i="12" s="1"/>
  <c r="H55" i="3"/>
  <c r="F68" i="3"/>
  <c r="H52" i="3"/>
  <c r="E52" i="3"/>
  <c r="C52" i="12" s="1"/>
  <c r="H51" i="3"/>
  <c r="E51" i="3"/>
  <c r="H50" i="3"/>
  <c r="E50" i="3"/>
  <c r="C49" i="12" s="1"/>
  <c r="H49" i="3"/>
  <c r="E49" i="3"/>
  <c r="C48" i="12" s="1"/>
  <c r="E48" i="3"/>
  <c r="C47" i="12" s="1"/>
  <c r="C46" i="12" s="1"/>
  <c r="G47" i="3"/>
  <c r="D47" i="3"/>
  <c r="C47" i="3"/>
  <c r="H46" i="3"/>
  <c r="E46" i="3"/>
  <c r="H45" i="3"/>
  <c r="H44" i="3"/>
  <c r="E44" i="3"/>
  <c r="C43" i="12" s="1"/>
  <c r="H43" i="3"/>
  <c r="E43" i="3"/>
  <c r="E42" i="3"/>
  <c r="C41" i="12" s="1"/>
  <c r="G41" i="3"/>
  <c r="D41" i="3"/>
  <c r="H40" i="3"/>
  <c r="E40" i="3"/>
  <c r="C39" i="12" s="1"/>
  <c r="G38" i="3"/>
  <c r="G53" i="3" s="1"/>
  <c r="D38" i="3"/>
  <c r="C38" i="3"/>
  <c r="H35" i="3"/>
  <c r="E35" i="3"/>
  <c r="C36" i="8" s="1"/>
  <c r="H34" i="3"/>
  <c r="E34" i="3"/>
  <c r="C35" i="8" s="1"/>
  <c r="H33" i="3"/>
  <c r="H32" i="3"/>
  <c r="E32" i="3"/>
  <c r="C33" i="8" s="1"/>
  <c r="H31" i="3"/>
  <c r="C30" i="3"/>
  <c r="G30" i="3"/>
  <c r="F30" i="3"/>
  <c r="D30" i="3"/>
  <c r="H29" i="3"/>
  <c r="E29" i="3"/>
  <c r="H28" i="3"/>
  <c r="E28" i="3"/>
  <c r="C29" i="8" s="1"/>
  <c r="G27" i="3"/>
  <c r="D27" i="3"/>
  <c r="C27" i="3"/>
  <c r="H26" i="3"/>
  <c r="E26" i="3"/>
  <c r="C27" i="8" s="1"/>
  <c r="E27" i="8" s="1"/>
  <c r="C25" i="12" s="1"/>
  <c r="H25" i="3"/>
  <c r="E25" i="3"/>
  <c r="G24" i="3"/>
  <c r="H24" i="3" s="1"/>
  <c r="F24" i="3"/>
  <c r="D24" i="3"/>
  <c r="H23" i="3"/>
  <c r="E23" i="3"/>
  <c r="H22" i="3"/>
  <c r="E22" i="3"/>
  <c r="C23" i="8" s="1"/>
  <c r="E23" i="8" s="1"/>
  <c r="H21" i="3"/>
  <c r="H20" i="3"/>
  <c r="E20" i="3"/>
  <c r="G19" i="3"/>
  <c r="H19" i="3" s="1"/>
  <c r="F19" i="3"/>
  <c r="D19" i="3"/>
  <c r="H18" i="3"/>
  <c r="E18" i="3"/>
  <c r="C19" i="8" s="1"/>
  <c r="E19" i="8" s="1"/>
  <c r="C17" i="12" s="1"/>
  <c r="H17" i="3"/>
  <c r="E17" i="3"/>
  <c r="C18" i="8" s="1"/>
  <c r="E18" i="8" s="1"/>
  <c r="C16" i="12" s="1"/>
  <c r="H16" i="3"/>
  <c r="G15" i="3"/>
  <c r="E16" i="3"/>
  <c r="C17" i="8" s="1"/>
  <c r="C15" i="3"/>
  <c r="E15" i="3" s="1"/>
  <c r="F15" i="3"/>
  <c r="D15" i="3"/>
  <c r="H14" i="3"/>
  <c r="E14" i="3"/>
  <c r="C15" i="8" s="1"/>
  <c r="E15" i="8" s="1"/>
  <c r="C13" i="12" s="1"/>
  <c r="H13" i="3"/>
  <c r="E13" i="3"/>
  <c r="C14" i="8" s="1"/>
  <c r="E14" i="8" s="1"/>
  <c r="C12" i="12" s="1"/>
  <c r="G11" i="3"/>
  <c r="H12" i="3"/>
  <c r="C11" i="3"/>
  <c r="F11" i="3"/>
  <c r="H11" i="3" s="1"/>
  <c r="D11" i="3"/>
  <c r="H10" i="3"/>
  <c r="E10" i="3"/>
  <c r="C11" i="8" s="1"/>
  <c r="E11" i="8" s="1"/>
  <c r="C9" i="12" s="1"/>
  <c r="H9" i="3"/>
  <c r="H8" i="3"/>
  <c r="C7" i="3"/>
  <c r="F7" i="3"/>
  <c r="F36" i="3" s="1"/>
  <c r="D7" i="3"/>
  <c r="B2" i="3"/>
  <c r="B1" i="3"/>
  <c r="G5" i="2"/>
  <c r="L5" i="2" s="1"/>
  <c r="F5" i="2"/>
  <c r="K5" i="2" s="1"/>
  <c r="E5" i="2"/>
  <c r="J5" i="2" s="1"/>
  <c r="D5" i="2"/>
  <c r="I5" i="2" s="1"/>
  <c r="C5" i="2"/>
  <c r="B1" i="2"/>
  <c r="H37" i="4" l="1"/>
  <c r="H6" i="4"/>
  <c r="H34" i="4"/>
  <c r="E27" i="3"/>
  <c r="H30" i="3"/>
  <c r="E59" i="3"/>
  <c r="H15" i="3"/>
  <c r="E30" i="3"/>
  <c r="E47" i="3"/>
  <c r="E11" i="3"/>
  <c r="E7" i="3"/>
  <c r="E68" i="3"/>
  <c r="D36" i="3"/>
  <c r="E8" i="3"/>
  <c r="C16" i="8"/>
  <c r="E17" i="8"/>
  <c r="C21" i="8"/>
  <c r="C24" i="8"/>
  <c r="E24" i="8" s="1"/>
  <c r="C35" i="19"/>
  <c r="C26" i="8"/>
  <c r="C30" i="8"/>
  <c r="C33" i="12"/>
  <c r="E35" i="8"/>
  <c r="E45" i="3"/>
  <c r="H16" i="4"/>
  <c r="F13" i="4"/>
  <c r="H13" i="4" s="1"/>
  <c r="E32" i="5"/>
  <c r="C30" i="5"/>
  <c r="E30" i="5" s="1"/>
  <c r="E9" i="3"/>
  <c r="C19" i="3"/>
  <c r="E19" i="3" s="1"/>
  <c r="C24" i="3"/>
  <c r="E24" i="3" s="1"/>
  <c r="H27" i="3"/>
  <c r="C28" i="8"/>
  <c r="C27" i="12"/>
  <c r="E29" i="8"/>
  <c r="E31" i="3"/>
  <c r="F38" i="3"/>
  <c r="H39" i="3"/>
  <c r="F47" i="3"/>
  <c r="H47" i="3" s="1"/>
  <c r="H48" i="3"/>
  <c r="C51" i="12"/>
  <c r="E11" i="4"/>
  <c r="D6" i="4"/>
  <c r="E35" i="4"/>
  <c r="D34" i="4"/>
  <c r="E34" i="4" s="1"/>
  <c r="E12" i="3"/>
  <c r="E33" i="3"/>
  <c r="E36" i="8"/>
  <c r="C34" i="12"/>
  <c r="E38" i="3"/>
  <c r="H42" i="3"/>
  <c r="F41" i="3"/>
  <c r="H41" i="3" s="1"/>
  <c r="C45" i="12"/>
  <c r="C67" i="12"/>
  <c r="G69" i="3"/>
  <c r="H30" i="4"/>
  <c r="G29" i="4"/>
  <c r="G43" i="4" s="1"/>
  <c r="G45" i="4" s="1"/>
  <c r="E12" i="5"/>
  <c r="C11" i="5"/>
  <c r="E11" i="5" s="1"/>
  <c r="E18" i="5"/>
  <c r="C17" i="5"/>
  <c r="G7" i="3"/>
  <c r="G36" i="3" s="1"/>
  <c r="H36" i="3" s="1"/>
  <c r="E21" i="3"/>
  <c r="D53" i="3"/>
  <c r="E39" i="3"/>
  <c r="C41" i="3"/>
  <c r="E41" i="3" s="1"/>
  <c r="D16" i="19"/>
  <c r="C42" i="12"/>
  <c r="E55" i="3"/>
  <c r="H68" i="3"/>
  <c r="E19" i="4"/>
  <c r="E25" i="4"/>
  <c r="H28" i="4"/>
  <c r="E30" i="4"/>
  <c r="C29" i="4"/>
  <c r="E29" i="4" s="1"/>
  <c r="F43" i="4"/>
  <c r="E16" i="5"/>
  <c r="C14" i="5"/>
  <c r="C37" i="4"/>
  <c r="C43" i="4" s="1"/>
  <c r="H9" i="5"/>
  <c r="F8" i="5"/>
  <c r="H8" i="5" s="1"/>
  <c r="H15" i="5"/>
  <c r="F14" i="5"/>
  <c r="H14" i="5" s="1"/>
  <c r="C6" i="6"/>
  <c r="H22" i="15"/>
  <c r="H25" i="16"/>
  <c r="K24" i="16"/>
  <c r="K25" i="16" s="1"/>
  <c r="E33" i="8"/>
  <c r="C31" i="12"/>
  <c r="C59" i="12"/>
  <c r="C63" i="12"/>
  <c r="C13" i="4"/>
  <c r="E39" i="4"/>
  <c r="E8" i="5"/>
  <c r="E38" i="5"/>
  <c r="D5" i="6"/>
  <c r="G5" i="6"/>
  <c r="C5" i="6"/>
  <c r="I25" i="16"/>
  <c r="J25" i="16"/>
  <c r="E27" i="4"/>
  <c r="D17" i="5"/>
  <c r="D14" i="5" s="1"/>
  <c r="F5" i="6"/>
  <c r="M21" i="17"/>
  <c r="N14" i="17"/>
  <c r="H15" i="20"/>
  <c r="C22" i="13"/>
  <c r="H14" i="21"/>
  <c r="S8" i="13"/>
  <c r="S22" i="13" s="1"/>
  <c r="G24" i="19"/>
  <c r="G9" i="19"/>
  <c r="G8" i="19" s="1"/>
  <c r="C8" i="19"/>
  <c r="G12" i="19"/>
  <c r="G22" i="20"/>
  <c r="H14" i="20"/>
  <c r="H13" i="21"/>
  <c r="C15" i="23"/>
  <c r="C14" i="19"/>
  <c r="C33" i="22"/>
  <c r="C34" i="22" s="1"/>
  <c r="G13" i="19"/>
  <c r="H18" i="20"/>
  <c r="H16" i="21"/>
  <c r="D33" i="22"/>
  <c r="D34" i="22" s="1"/>
  <c r="H8" i="20"/>
  <c r="E33" i="22"/>
  <c r="E34" i="22" s="1"/>
  <c r="H15" i="22"/>
  <c r="H19" i="22"/>
  <c r="H23" i="22"/>
  <c r="H27" i="22"/>
  <c r="H31" i="22"/>
  <c r="H7" i="22"/>
  <c r="H14" i="22"/>
  <c r="H18" i="22"/>
  <c r="H22" i="22"/>
  <c r="H26" i="22"/>
  <c r="H30" i="22"/>
  <c r="H29" i="4" l="1"/>
  <c r="H34" i="22"/>
  <c r="H20" i="21"/>
  <c r="C10" i="9"/>
  <c r="C22" i="8"/>
  <c r="C20" i="8" s="1"/>
  <c r="C37" i="12"/>
  <c r="C34" i="8"/>
  <c r="D43" i="4"/>
  <c r="D45" i="4" s="1"/>
  <c r="C22" i="12"/>
  <c r="H33" i="22"/>
  <c r="H22" i="21"/>
  <c r="G11" i="19"/>
  <c r="E13" i="4"/>
  <c r="E37" i="4"/>
  <c r="E14" i="5"/>
  <c r="C55" i="12"/>
  <c r="C68" i="12" s="1"/>
  <c r="G16" i="19"/>
  <c r="D14" i="19"/>
  <c r="D69" i="3"/>
  <c r="F53" i="3"/>
  <c r="H38" i="3"/>
  <c r="C10" i="8"/>
  <c r="E10" i="8" s="1"/>
  <c r="C8" i="12" s="1"/>
  <c r="C25" i="8"/>
  <c r="E26" i="8"/>
  <c r="H7" i="3"/>
  <c r="C53" i="3"/>
  <c r="H21" i="21"/>
  <c r="C45" i="4"/>
  <c r="C13" i="6"/>
  <c r="E17" i="5"/>
  <c r="C6" i="10"/>
  <c r="C13" i="8"/>
  <c r="E13" i="8" s="1"/>
  <c r="C11" i="12" s="1"/>
  <c r="C32" i="8"/>
  <c r="E6" i="4"/>
  <c r="C44" i="12"/>
  <c r="C40" i="12" s="1"/>
  <c r="C28" i="12"/>
  <c r="C26" i="12" s="1"/>
  <c r="D30" i="8"/>
  <c r="D28" i="8" s="1"/>
  <c r="D37" i="8" s="1"/>
  <c r="G35" i="19"/>
  <c r="C33" i="19"/>
  <c r="F33" i="19"/>
  <c r="E21" i="8"/>
  <c r="C19" i="12"/>
  <c r="C36" i="3"/>
  <c r="C12" i="8"/>
  <c r="E12" i="8" s="1"/>
  <c r="C12" i="10"/>
  <c r="F45" i="4"/>
  <c r="H45" i="4" s="1"/>
  <c r="H43" i="4"/>
  <c r="C38" i="12"/>
  <c r="C8" i="17"/>
  <c r="C7" i="9"/>
  <c r="C15" i="12"/>
  <c r="C14" i="12" s="1"/>
  <c r="E16" i="8"/>
  <c r="C21" i="20"/>
  <c r="C9" i="8"/>
  <c r="E36" i="3" l="1"/>
  <c r="E30" i="8"/>
  <c r="E28" i="8" s="1"/>
  <c r="E45" i="4"/>
  <c r="C69" i="3"/>
  <c r="E53" i="3"/>
  <c r="E9" i="8"/>
  <c r="C8" i="8"/>
  <c r="C32" i="12"/>
  <c r="E34" i="8"/>
  <c r="C11" i="9"/>
  <c r="C29" i="10"/>
  <c r="D11" i="11"/>
  <c r="D12" i="11"/>
  <c r="D13" i="11"/>
  <c r="D20" i="11"/>
  <c r="D17" i="11"/>
  <c r="D7" i="11"/>
  <c r="D19" i="11"/>
  <c r="D8" i="11"/>
  <c r="D21" i="11"/>
  <c r="D16" i="11"/>
  <c r="D9" i="11"/>
  <c r="D15" i="11"/>
  <c r="G14" i="19"/>
  <c r="G21" i="19" s="1"/>
  <c r="C20" i="12"/>
  <c r="C18" i="12" s="1"/>
  <c r="E22" i="8"/>
  <c r="C22" i="20"/>
  <c r="D22" i="20"/>
  <c r="H21" i="20"/>
  <c r="G33" i="19"/>
  <c r="G37" i="19" s="1"/>
  <c r="C30" i="12"/>
  <c r="C29" i="12" s="1"/>
  <c r="C31" i="8"/>
  <c r="E32" i="8"/>
  <c r="E31" i="8" s="1"/>
  <c r="E43" i="4"/>
  <c r="C24" i="12"/>
  <c r="C23" i="12" s="1"/>
  <c r="E25" i="8"/>
  <c r="C18" i="19"/>
  <c r="G20" i="19"/>
  <c r="G18" i="19" s="1"/>
  <c r="H53" i="3"/>
  <c r="F69" i="3"/>
  <c r="H69" i="3" s="1"/>
  <c r="E8" i="17"/>
  <c r="C7" i="17"/>
  <c r="C10" i="12"/>
  <c r="E20" i="8"/>
  <c r="C53" i="12"/>
  <c r="C69" i="12" s="1"/>
  <c r="G39" i="19" l="1"/>
  <c r="E7" i="17"/>
  <c r="K8" i="17"/>
  <c r="C21" i="17"/>
  <c r="H22" i="20"/>
  <c r="C37" i="8"/>
  <c r="E69" i="3"/>
  <c r="E8" i="8"/>
  <c r="C7" i="12"/>
  <c r="C6" i="12" s="1"/>
  <c r="C35" i="12" s="1"/>
  <c r="K7" i="17" l="1"/>
  <c r="N8" i="17"/>
  <c r="E37" i="8"/>
  <c r="C35" i="18"/>
  <c r="E21" i="17"/>
  <c r="N7" i="17" l="1"/>
  <c r="C12" i="18"/>
  <c r="K21" i="17"/>
  <c r="C5" i="9"/>
  <c r="N21" i="17" l="1"/>
  <c r="C8" i="9"/>
  <c r="C13" i="9" s="1"/>
  <c r="C18" i="18"/>
  <c r="C36" i="18" l="1"/>
  <c r="C38" i="18" l="1"/>
</calcChain>
</file>

<file path=xl/sharedStrings.xml><?xml version="1.0" encoding="utf-8"?>
<sst xmlns="http://schemas.openxmlformats.org/spreadsheetml/2006/main" count="1213" uniqueCount="746">
  <si>
    <t>პილარ 3-ის კვარტალური ანგარიშგება</t>
  </si>
  <si>
    <t>ბანკის სრული დასახელება</t>
  </si>
  <si>
    <t>სს სილქ ბანკი</t>
  </si>
  <si>
    <t>ბანკის სამეთვალყურეო საბჭოს თავმჯდომარე</t>
  </si>
  <si>
    <t>ი. მანაგაძე</t>
  </si>
  <si>
    <t>ბანკის გენერალური დირექტორი</t>
  </si>
  <si>
    <t>ა.ხოროშვილი</t>
  </si>
  <si>
    <t>ბანკის ვებ-გვერდი</t>
  </si>
  <si>
    <t>www.silkbank.ge</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</si>
  <si>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</si>
  <si>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ცხრილი N</t>
  </si>
  <si>
    <t>სარჩევი</t>
  </si>
  <si>
    <t>ძირითადი მაჩვენებლები</t>
  </si>
  <si>
    <t>საბალანსო უწყისი</t>
  </si>
  <si>
    <t>მოგება-ზარალის ანგარიშგება</t>
  </si>
  <si>
    <t xml:space="preserve">ბალანსგარეშე ანგარიშების უწყისი </t>
  </si>
  <si>
    <t>რისკის მიხედვით შეწონილი რისკის პოზიციები</t>
  </si>
  <si>
    <t>ინფორმაცია ბანკის სამეთვალყურეო საბჭოს, დირექტორატის და აქციონერთა შესახებ</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</si>
  <si>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</si>
  <si>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</si>
  <si>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საზედამხედველო კაპიტალი</t>
  </si>
  <si>
    <t>9.1</t>
  </si>
  <si>
    <t>კაპიტალის ადეკვატურობის მოთხოვნები</t>
  </si>
  <si>
    <t>საბალანსო უწყისისა და საზედამხედველო კაპიტალის ელემენტებს შორის კავშირები</t>
  </si>
  <si>
    <t>საკრედიტო რისკის მიხედვით შეწონილი რისკის პოზიციები</t>
  </si>
  <si>
    <t>საკრედიტო რისკის მიტიგაცია</t>
  </si>
  <si>
    <t>სტანდარტიზებული მიდგომა - საკრედიტო რისკის მიტიგაციის ეფექტი</t>
  </si>
  <si>
    <t>ლიკვიდობის გადაფარვის კოეფიციენტი</t>
  </si>
  <si>
    <t>კონტრაგენტთან დაკავშირებული საკრედიტო რისკის მიხედვით შეწონილი რისკის პოზიციები</t>
  </si>
  <si>
    <t>ლევერიჯის კოეფიციენტი</t>
  </si>
  <si>
    <t>წმინდა სტაბილური დაფინანსების კოეფიციენტი</t>
  </si>
  <si>
    <t>რისკის პოზიციის ღირებულება ნარჩენი ვადიანობის  და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</si>
  <si>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</si>
  <si>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დაფარვის წყაროს სექტორების მიხედვით</t>
  </si>
  <si>
    <t>მოსალოდნელი საკრედიტო ზარალის ცვლილება სესხებზე და კორპორატიულ სავალო ფასიან ქაღალდებზე</t>
  </si>
  <si>
    <t>უმოქმედო სესხების ცვლილება</t>
  </si>
  <si>
    <t>სესხების, სავალო ფასიანი ქაღალდების და გარესაბალანსო ვალდებულებების განაწილება, საკრედიტო რისკის კატეგორიის, ვადაგადაცილების და მსესხებლის ტიპის მიხედვით</t>
  </si>
  <si>
    <t>სესხების,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გარანტიებით უზრუნველყოფილი სესხების განაწილება საკრედიტო რისკის კატეგორიისა და ვადაგადაცილების მიხედვით</t>
  </si>
  <si>
    <t>სესხების და სესხებზე მოსალოდნელი საკრედიტო ზარალის განაწილება, დაფარვის წყაროს სექტორების და საკრედიტო რისკის კატეგორიის მიხედვით</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</si>
  <si>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</si>
  <si>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ზოგადი და ხარისხობრივი ინფორმაცია საცალო პროდუქტებზე</t>
  </si>
  <si>
    <t>ბანკი:</t>
  </si>
  <si>
    <t>თარიღი:</t>
  </si>
  <si>
    <t>ცხრილი 1</t>
  </si>
  <si>
    <t>ფასს-ის საფუძელზე დაანგარიშებული რიცხვები</t>
  </si>
  <si>
    <t>"საქართველოს საბანკო დაწესებულებებისათვის ბუღალტრული აღრიცხვის ანგარიშთა გეგმის და ანგარიშთა გეგმის გამოყენების ინსტრუქციის“  შესაბამისად დაანგარიშებული რიცხვები</t>
  </si>
  <si>
    <t>N</t>
  </si>
  <si>
    <t>საზედამხედველო კაპიტალი (მოცულობა, ლარი)</t>
  </si>
  <si>
    <t>ბაზელ III-ზე დაფუძნებული ჩარჩოს მიხედვით</t>
  </si>
  <si>
    <t>ძირითადი პირველადი კაპიტალი</t>
  </si>
  <si>
    <t>პირველადი კაპიტალი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</si>
  <si>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</si>
  <si>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</si>
  <si>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</si>
  <si>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მთლიანი რისკის პოზიციები (მოცულობა, ლარი)</t>
  </si>
  <si>
    <t>რისკის მიხედვით შეწონილი მთლიანი რისკის პოზიციები (ბაზელ III-ზე დაფუძნებული ჩარჩოს მიხედვით)</t>
  </si>
  <si>
    <t>კაპიტალის ადეკვატურობის კოეფიციენტები (%)</t>
  </si>
  <si>
    <t>ბაზელ III-ზე დაფუძნებული ჩარჩოს მიხედვით *</t>
  </si>
  <si>
    <t>ძირითადი პირველადი კაპიტალის კოეფიციენტი</t>
  </si>
  <si>
    <t>პირველადი კაპიტალის კოეფიციენტი</t>
  </si>
  <si>
    <t>საზედამხედველო კაპიტალის კოეფიციენტი</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</si>
  <si>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</si>
  <si>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</si>
  <si>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</si>
  <si>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</si>
  <si>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წმინდა საპროცენტო მარჟა</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</si>
  <si>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</si>
  <si>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</si>
  <si>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</si>
  <si>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</si>
  <si>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სშდრ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</si>
  <si>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</si>
  <si>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</si>
  <si>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</si>
  <si>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</si>
  <si>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</si>
  <si>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</si>
  <si>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</si>
  <si>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</si>
  <si>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</si>
  <si>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</si>
  <si>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ლიკვიდობის გადაფარვის კოეფიციენტი (%)</t>
  </si>
  <si>
    <t>ხელმისაწვდომი სტაბილური დაფინანსება</t>
  </si>
  <si>
    <t>სტაბილური დაფინანსების საჭიროება</t>
  </si>
  <si>
    <t>წმინდა სტაბილური დაფინანსების კოეფიციენტი (%)</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</si>
  <si>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https://nbg.gov.ge/page/covid-19</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</si>
  <si>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</si>
  <si>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ფინანსური მდგომარეობის ანგარიშგება</t>
  </si>
  <si>
    <t>საანგარიშგებო პერიოდი</t>
  </si>
  <si>
    <t>წინა წლის შესაბამისი პერიოდი</t>
  </si>
  <si>
    <t>ლარი</t>
  </si>
  <si>
    <t>უცხ.ვალუტა</t>
  </si>
  <si>
    <t>სულ</t>
  </si>
  <si>
    <t>აქტივები</t>
  </si>
  <si>
    <t>ნაღდი ფული, ფულადი სახსრები საქართველოს ეროვნული ბანკში და სხვა ბანკებში</t>
  </si>
  <si>
    <t>ნაღდი ფული</t>
  </si>
  <si>
    <t>ფულადი სახსრები საქართველოს ეროვნულ ბანკში</t>
  </si>
  <si>
    <t>ფულადი სახსრები სხვა ბანკებში</t>
  </si>
  <si>
    <t>სავაჭროდ გამიზნული ფინანსური აქტივები</t>
  </si>
  <si>
    <t>მათ შორის: წარმოებული ფინანსური ინსტრუმენტები</t>
  </si>
  <si>
    <t>სავალდებულო წესით რეალური ღირებულებით შეფასებული არასავაჭრო ფინანსური ინსტრუმენტები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</si>
  <si>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</si>
  <si>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</si>
  <si>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წილობრივი ინსტრუმენტები</t>
  </si>
  <si>
    <t>სავალო ფასიანი ქაღალდები</t>
  </si>
  <si>
    <t>გაცემული სესხები და მოთხოვნები</t>
  </si>
  <si>
    <t>ამორტიზებული ღირებულებით შეფასებული ფინანსური აქტივები</t>
  </si>
  <si>
    <t>ინვესტიციები შვილობილ, მეკავშირე და ერთობლივ საწარმოებში</t>
  </si>
  <si>
    <t>გასაყიდად გამიზნული გრძელვადიანი აქტივები და გამსვლელი ჯგუფები</t>
  </si>
  <si>
    <t>მატერიალური აქტივები</t>
  </si>
  <si>
    <t>ძირითადი საშუალებები</t>
  </si>
  <si>
    <t>საინვესტიციო ქონება</t>
  </si>
  <si>
    <t>არამატერიალური აქტივები</t>
  </si>
  <si>
    <t>გუდვილი</t>
  </si>
  <si>
    <t>სხვა არამატერიალური აქტივები</t>
  </si>
  <si>
    <t>საგადასახადო აქტივები</t>
  </si>
  <si>
    <t>მიმდინარე საგადასახადო აქტივები</t>
  </si>
  <si>
    <t>გადავადებული საგადასახადო აქტივები</t>
  </si>
  <si>
    <t>სხვა აქტივები</t>
  </si>
  <si>
    <t>მათ შორის: დასაკუთრებული ქონება</t>
  </si>
  <si>
    <t>მათ შორის: მისაღები დივიდენდები</t>
  </si>
  <si>
    <t>სულ აქტივები</t>
  </si>
  <si>
    <t>ვალდებულებები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</si>
  <si>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</si>
  <si>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მოგება-ზარალში ასახვით</t>
  </si>
  <si>
    <t>ამორტიზებული ღირებულებით შეფასებული ფინანსური ვალდებულებები</t>
  </si>
  <si>
    <t>დეპოზიტები</t>
  </si>
  <si>
    <t>ნასესხები სახსრები</t>
  </si>
  <si>
    <t>გამოშვებული სავალო ფასიანი ქაღალდები</t>
  </si>
  <si>
    <t>სხვა ფინანსური ვალდებულებები</t>
  </si>
  <si>
    <t>ანარიცხები</t>
  </si>
  <si>
    <t>საგადასახადო ვალდებულებები</t>
  </si>
  <si>
    <t>მიმდინარე საგადასახადო ვალდებულებები</t>
  </si>
  <si>
    <t>გადავადებული საგადასახადო ვალდებულებები</t>
  </si>
  <si>
    <t>სუბორდინირებული ვალდებულებები</t>
  </si>
  <si>
    <t>სხვა ვალდებულებები</t>
  </si>
  <si>
    <t>მათ შორის: გადასახდელი დივიდენდები</t>
  </si>
  <si>
    <t>სულ ვალდებულებები</t>
  </si>
  <si>
    <t>საკუთარი კაპიტალი</t>
  </si>
  <si>
    <t>სააქციო კაპიტალი</t>
  </si>
  <si>
    <t>პრივილეგრირებული აქციები</t>
  </si>
  <si>
    <t>საემისიო კაპიტალი</t>
  </si>
  <si>
    <t>(-) გამოსყიდული საკუთარი აქციები</t>
  </si>
  <si>
    <t>გამოშვებული წილობრივი ინსტრუმენტები, გარდა საკუთარი კაპიტალისა</t>
  </si>
  <si>
    <t>რთული ფინანსური ინსტრუმენტის წილობრივი კომპონენტი</t>
  </si>
  <si>
    <t>სხვა გამოშვებული წილობრივი ინსტრუმენტები</t>
  </si>
  <si>
    <t>აქციებზე დაფუძნებული გადახდის რეზერვი</t>
  </si>
  <si>
    <t>დაგროვილი სხვა სრული შემოსავალი</t>
  </si>
  <si>
    <t>გადაფასების რეზერვი</t>
  </si>
  <si>
    <t>რეალური ღირებულების ცვლილებები წილობრივ ინსტრუმენტებზე, რომლებიც შეფასებულია რეალური ღირებულებით, სხვა სრულ შემოსავალში ასახვით</t>
  </si>
  <si>
    <t>რეალური ღირებულებით სხვა სრულ შემოსავალში ასახული სავალო ინსტრუმენტების რეალური ღირებულების ცვლილებები</t>
  </si>
  <si>
    <t>გაუნაწილებელი მოგება</t>
  </si>
  <si>
    <t>სულ საკუთარი კაპიტალი</t>
  </si>
  <si>
    <t>სულ საკუთარი კაპიტალი და ვალდებულებები</t>
  </si>
  <si>
    <t>საპროცენტო შემოსავალი</t>
  </si>
  <si>
    <t>რეალური ღირებულებით შეფასებული არასავაჭრო ფინანსური ინსტრუმენტები სავალდებულო წესით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</si>
  <si>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 ზარალში ასახვით</t>
  </si>
  <si>
    <t>(საპროცენტო ხარჯები)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</si>
  <si>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</si>
  <si>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 ან ზარალში ასახვით)</t>
  </si>
  <si>
    <t>(ამორტიზებული ღირებულებით შეფასებული ფინანსური ვალდებულებები)</t>
  </si>
  <si>
    <t>(სხვა ვალდებულებები)</t>
  </si>
  <si>
    <t>შემოსავალი დივიდენდებიდან</t>
  </si>
  <si>
    <t>საკომისიო შემოსავალი</t>
  </si>
  <si>
    <t>(საკომისიო ხარჯი)</t>
  </si>
  <si>
    <t>წმინდა შემოსულობა ან (-) ზარალი იმ ფინანსური აქტივებისა და ვალდებულებების აღიარების შეწყვეტით, რომელიც არ არის შეფასებული რეალური ღირებულებით მოგება ან ზარალში ასახვით</t>
  </si>
  <si>
    <t>შემოსულობა ან (-) ზარალი სავაჭროდ გამიზნული ფინანსური აქტივებიდან და ვალდებულებებიდან,წმინდა</t>
  </si>
  <si>
    <t>შემოსულობა ან (-) ზარალი არასავაჭრო ფინანსური აქტივებიდან, რომელიც სავალდებულო წესით შეფასებულია რეალური ღირებულებით მოგება ან ზარალში ასახვით,წმინდა</t>
  </si>
  <si>
    <t>შემოსულობა ან (-) ზარალი საკუთარი შეხედულებისამებრ რეალური ღირებულებით შეფასებული ფინანსური აქტივებიდან და ვალდებულებებიდან, მოგება-ზარალში ასახვით,წმინდა</t>
  </si>
  <si>
    <t>საკურსო სხვაობა [შემოსულობა ან (-) ზარალი],წმინდა</t>
  </si>
  <si>
    <t>არაფინანსური აქტივების აღიარების შეწყვეტიდან მიღებული შემოსულობა ან (-) ზარალი,წმინდა</t>
  </si>
  <si>
    <t>სხვა საოპერაციო შემოსავალი</t>
  </si>
  <si>
    <t>(სხვა საოპერაციო ხარჯი)</t>
  </si>
  <si>
    <t>(ადმინისტრაციული ხარჯები)</t>
  </si>
  <si>
    <t>(შრომის ანაზღაურების ხარჯი)</t>
  </si>
  <si>
    <t>(სხვა ადმინისტრაციული ხარჯი)</t>
  </si>
  <si>
    <t>(ცვეთის და ამორტიზაციის ხარჯები)</t>
  </si>
  <si>
    <t>ფინანსური ინსტრუმენტების მოდოფიკაციით მიღებული შემოსულობა ან (-) ზარალი,წმინდა</t>
  </si>
  <si>
    <t>(ანარიცხები ან (-) ანარიცხების ანულირება)</t>
  </si>
  <si>
    <t>(გაცემული გარანტიები და შესრულების პირობა)</t>
  </si>
  <si>
    <t>(სხვა ანარიცხები)</t>
  </si>
  <si>
    <t>(გაუფასურება ან (-) გაუფასურების ანულირება იმ ფინანსური აქტივების, რომლებიც შეფასებული არ არის რეალური ღირებულებით,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</si>
  <si>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</si>
  <si>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(ამორტიზებული ღირებულებით შეფასებული ფინანსური აქტივები)</t>
  </si>
  <si>
    <t>(გაუფასურება ან (-) გაუფასურების ანულირება ინვესტიციების შვილობილ, მეკავშირე და ერთობლივ საწარმოებში)</t>
  </si>
  <si>
    <t>არაფინანსური აქტივების გაუფასურება ან (-) გაუფასურების ანულირება</t>
  </si>
  <si>
    <t>წილი მოგებიდან ან (-) ზარალიდან ინვესტიციებზე შვილობილ, მეკავშირე და ერთობლივ საწარმოებში, რომელიც აღრიცხულია წილობრივი მეთოდით</t>
  </si>
  <si>
    <t>მოგება ან (-) ზარალი დაბეგვრამდე</t>
  </si>
  <si>
    <t>(მოგების გადასახადის ხარჯი ან (-) შემოსავალი)</t>
  </si>
  <si>
    <t>მოგება ან (-) ზარალი დაბეგვრის შემდეგ</t>
  </si>
  <si>
    <t>ბალანსგარეშე ანგარიშგების უწყისი</t>
  </si>
  <si>
    <t>მიღებული "სესხის გაცემის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</si>
  <si>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</si>
  <si>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მოთხოვნის უზრუნველყოფის მიზნით მიღებული გარანტიები</t>
  </si>
  <si>
    <t xml:space="preserve">თავდებობა, სოლიდარული პასუხისმგებლობა </t>
  </si>
  <si>
    <t xml:space="preserve">გარანტია </t>
  </si>
  <si>
    <t>ბანკის მიმართ არსებული მოთხოვნის უზრუნველყოფის მიზნით დატვირთული ბანკის აქტივები</t>
  </si>
  <si>
    <t>ბანკის ფინანსური აქტივები</t>
  </si>
  <si>
    <t>ბანკის არაფინანსური აქტივები</t>
  </si>
  <si>
    <t>გირავნობის უზრუნველყოფის სახით მიღებული აქტივები:</t>
  </si>
  <si>
    <t>ფულადი სახსრები</t>
  </si>
  <si>
    <t>ძვირფასი ლითონები და ქვები</t>
  </si>
  <si>
    <t>უძრავი ქონება:</t>
  </si>
  <si>
    <t>5.3.1</t>
  </si>
  <si>
    <t>საცხოვრებელი</t>
  </si>
  <si>
    <t>5.3.2</t>
  </si>
  <si>
    <t>კომერციული</t>
  </si>
  <si>
    <t>5.3.3</t>
  </si>
  <si>
    <t>კომპლექსური ტიპის უძრავი ქონება</t>
  </si>
  <si>
    <t>5.3.4</t>
  </si>
  <si>
    <t>მიწის ნაკვეთები (შენობა ნაგებობების გარეშე)</t>
  </si>
  <si>
    <t>5.3.5</t>
  </si>
  <si>
    <t>სხვა</t>
  </si>
  <si>
    <t>მოძრავი ქონება</t>
  </si>
  <si>
    <t>წილის გირავნობა</t>
  </si>
  <si>
    <t xml:space="preserve">ფასიანი ქაღალდები  </t>
  </si>
  <si>
    <t>სესხის გაცემის ვალდებულებები</t>
  </si>
  <si>
    <t>გაცემული გარანტიები</t>
  </si>
  <si>
    <t>აკრედიტივი</t>
  </si>
  <si>
    <t>წარმოებული ფინანსური ინსტრუმენტები</t>
  </si>
  <si>
    <t>სავალუტო კურსთან დაკავშირებული კონტრაქტების (გარდა ოფციონებისა) ფარგლებში მისაღები თანხები</t>
  </si>
  <si>
    <t>სავალუტო კურსთან დაკავშირებული კონტრაქტების (გარდა ოფციონებისა) ფარგლებში გასაცები თანხები</t>
  </si>
  <si>
    <t xml:space="preserve">საპროცენტო განაკვეთთან დაკავშირებული კონტრაქტების (გარდა ოფციონებისა) ძირითადი თანხა </t>
  </si>
  <si>
    <t>გაყიდული ოფციონები</t>
  </si>
  <si>
    <t>ნაყიდი ოფციონები</t>
  </si>
  <si>
    <t>სხვა წარმოებული ინსტრუმენტების ფარგლებში ბანკის პოტენციური მოთხოვნის ნომინალური ღირებულება</t>
  </si>
  <si>
    <t>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</si>
  <si>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ზარალში ჩამოწერილი ვალები</t>
  </si>
  <si>
    <t>ბოლო 3 თვის განმავალობაში ბალანსიდან ჩამოწერილი საკრედიტო მოთხოვნების ძირი თანხა</t>
  </si>
  <si>
    <t>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</si>
  <si>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ბოლო 5 წლის განმავლობაში (ბოლო 3 თვის ჩათვლით) ბალანსიდან ჩამოწერილი საკრედიტო მოთხოვნების ძირი თანხა</t>
  </si>
  <si>
    <t>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</si>
  <si>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კაპიტალური დანახარჯების პოტენციური სახელშეკრულებო ვალდებულება</t>
  </si>
  <si>
    <t>ცხრილი 5</t>
  </si>
  <si>
    <t>ლარებით</t>
  </si>
  <si>
    <t>საკრედიტო რისკი მიხედვით შეწონილი რისკის პოზიციები</t>
  </si>
  <si>
    <t>საბალანსო ელემენტები*</t>
  </si>
  <si>
    <t>1.1.1</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</si>
  <si>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</si>
  <si>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გარესაბალანსო ელემენტები</t>
  </si>
  <si>
    <t>საბაზრო რისკის მიხედვით შეწონილი რისკის პოზიციები</t>
  </si>
  <si>
    <t>საოპერაციო რისკის მიხედვით შეწონილი რისკის პოზიციები</t>
  </si>
  <si>
    <t>სულ რისკის მიხედვით შეწონილი რისკის პოზიციები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</si>
  <si>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</si>
  <si>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ცხრილი 6</t>
  </si>
  <si>
    <t>სამეთვალყურეო საბჭოს შემადგენლობა</t>
  </si>
  <si>
    <t>დამოუკიდებლობის სტატუსი</t>
  </si>
  <si>
    <t>ირაკლი მანაგაძე</t>
  </si>
  <si>
    <t>დამოუკიდებელი თავმჯდომარე</t>
  </si>
  <si>
    <t>ვასილ კენკიშვილი</t>
  </si>
  <si>
    <t>არადამოუკიდებელ წევრი</t>
  </si>
  <si>
    <t>მამუკა შურღაია</t>
  </si>
  <si>
    <t>დევიდ ფრანც ბორგერი, /გერმანია/</t>
  </si>
  <si>
    <t>მზია ქოქუაშვილი</t>
  </si>
  <si>
    <t>დამოუკიდებელი წევრი</t>
  </si>
  <si>
    <t>ნანა ჩხობაძე</t>
  </si>
  <si>
    <t>დირექტორთა საბჭოს შემადგენლობა</t>
  </si>
  <si>
    <t>პოზიციის დასახელება/კონტროლს დაქვემდებარებული მიმართულება ბანკში</t>
  </si>
  <si>
    <t>ალექსი ხოროშვილი</t>
  </si>
  <si>
    <t>გენერალური დირექტორი</t>
  </si>
  <si>
    <t>არჩილ ლურსმანაშვილი</t>
  </si>
  <si>
    <t>გენერალური დირექტორის პირველი მოადგილე</t>
  </si>
  <si>
    <t>ბექა კვეზერელი</t>
  </si>
  <si>
    <t>ფინანსური დირექტორი</t>
  </si>
  <si>
    <t>გიორგი ღიბრაძე</t>
  </si>
  <si>
    <t>იურიდიული დირექტორი</t>
  </si>
  <si>
    <t>ნათია მერაბიშვილი</t>
  </si>
  <si>
    <t>ოპერაციების მართვის დირექტორი</t>
  </si>
  <si>
    <t>ირაკლი ბენდელიანი</t>
  </si>
  <si>
    <t>ინფორმაციული ტექნოლოგიების დირექტორი</t>
  </si>
  <si>
    <t>გიორგი კალოიანი</t>
  </si>
  <si>
    <t>რისკების დირექტორი</t>
  </si>
  <si>
    <t>კახა ბასიაშვილი</t>
  </si>
  <si>
    <t>რისკების დირექტორის მოადგილე</t>
  </si>
  <si>
    <t>დავით ნინიძე</t>
  </si>
  <si>
    <t>პროდუქტებისა და ინოვაციების დირექტორი</t>
  </si>
  <si>
    <t>საწესდებო კაპიტალის 1% და მეტი წილის მფლობელი აქციონერების ჩამონათვალი წილების მითითებით</t>
  </si>
  <si>
    <t>სილქ როუდ გრუპ ჰოლდინგ (მალტა) ლიმიტედ, მალტა</t>
  </si>
  <si>
    <t>შპს პარტომტა</t>
  </si>
  <si>
    <t>სს სილქ ჰოლდინგი</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</si>
  <si>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</si>
  <si>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გიორგი რამიშვილი</t>
  </si>
  <si>
    <t>ალექსი თოფურია</t>
  </si>
  <si>
    <t>დევიდ ფრანც ბორგერი, გერმანია</t>
  </si>
  <si>
    <t>აქციებით შეზღუდული კერძო კომპანია ბრეიტენბერგ პრაივიტ ლიმიტედ, სინგაპური</t>
  </si>
  <si>
    <t>2.1.1</t>
  </si>
  <si>
    <t xml:space="preserve"> ერკინ ტატიშევი, ყაზახეთი</t>
  </si>
  <si>
    <t>ცხრილი 7</t>
  </si>
  <si>
    <t>a</t>
  </si>
  <si>
    <t>b</t>
  </si>
  <si>
    <t>c</t>
  </si>
  <si>
    <t xml:space="preserve">სტანდარტიზებული საზედამხედველო ანგარიშგების საბალანსო ელემენტები </t>
  </si>
  <si>
    <t>საბალანსო ღირებულებები ფასს სტანდარტების აღრიცხვის წესების მიხედვით (ინდივიდუალური ფინანსური ანგარიშგება)</t>
  </si>
  <si>
    <t xml:space="preserve"> საბალანსო ღირებულებები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</si>
  <si>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</si>
  <si>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</si>
  <si>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</si>
  <si>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ცხრილი 8</t>
  </si>
  <si>
    <t>საბალანსე ელემენტების ჯამური  ღირებულება საკრედიტო რისკის მიხედვით შეწონვის მიზნებისთვის კორექტირებებამდე</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</si>
  <si>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</si>
  <si>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</si>
  <si>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და არასაბალანსო ელემენტების ჯამური ღირებულება საკრედიტო რისკის მიხედვით შეწონვის მიზნებისთვის კორექტირებებამდე</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</si>
  <si>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</si>
  <si>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</si>
  <si>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</si>
  <si>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სხვა კორექტირებების ეფექტი (ასეთის არსებობის შემთხვევაში) *</t>
  </si>
  <si>
    <t>სულ საკრედიტო რისკის მიხედვით შეწონვას დაქვემდებარებული რისკის პოზიციები</t>
  </si>
  <si>
    <t>* სხვა კორექტირებები მოიცავს COVID 19-თან დაკავშირებულ რეზერვებსაც დადებითი ნიშნით. აღნიშნულის გამოკლება ხდება რისკის მიხედვით შეწონილი რისკის პოზიციების დაანგარიშების შემდეგ. იხ. ცხრილი "5.RWA"</t>
  </si>
  <si>
    <t>ცხრილი 9</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</si>
  <si>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</si>
  <si>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</si>
  <si>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</si>
  <si>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</si>
  <si>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</si>
  <si>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</si>
  <si>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</si>
  <si>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</si>
  <si>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</si>
  <si>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</si>
  <si>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</si>
  <si>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</si>
  <si>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</si>
  <si>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</si>
  <si>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</si>
  <si>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</si>
  <si>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სხვა დაქვითვები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</si>
  <si>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</si>
  <si>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</si>
  <si>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</si>
  <si>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</si>
  <si>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</si>
  <si>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</si>
  <si>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</si>
  <si>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</si>
  <si>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</si>
  <si>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</si>
  <si>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</si>
  <si>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</si>
  <si>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</si>
  <si>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</si>
  <si>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</si>
  <si>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დამატებითი პირველადი კაპიტალი</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</si>
  <si>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</si>
  <si>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</si>
  <si>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</si>
  <si>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ზოგადი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</si>
  <si>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</si>
  <si>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</si>
  <si>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</si>
  <si>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</si>
  <si>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მეორადი კაპიტალი</t>
  </si>
  <si>
    <t xml:space="preserve">   </t>
  </si>
  <si>
    <t>ცხრილი 9.1</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</si>
  <si>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</si>
  <si>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</si>
  <si>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</si>
  <si>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</si>
  <si>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</si>
  <si>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</si>
  <si>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</si>
  <si>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</si>
  <si>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</si>
  <si>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</si>
  <si>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</si>
  <si>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</si>
  <si>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</si>
  <si>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კაპიტალის კონსერვაციის ბუფერი*</t>
  </si>
  <si>
    <t>2.2</t>
  </si>
  <si>
    <t>კონტრციკლური ბუფერი</t>
  </si>
  <si>
    <t>2.3</t>
  </si>
  <si>
    <t>სისტემური რისკის ბუფერი</t>
  </si>
  <si>
    <t>3</t>
  </si>
  <si>
    <t>პილარ 2-ის მოთხოვნა</t>
  </si>
  <si>
    <t>3.1</t>
  </si>
  <si>
    <t>პილარ 2-ის მოთხოვნა ძირითად პირველად კაპიტალზე</t>
  </si>
  <si>
    <t>3.2</t>
  </si>
  <si>
    <t>პილარ 2-ის მოთხოვნა პირველად კაპიტალზე</t>
  </si>
  <si>
    <t>3.3</t>
  </si>
  <si>
    <t>პილარ 2-ის მოთხოვნა საზედამხედველო კაპიტალზე</t>
  </si>
  <si>
    <t>ჯამური მოთხოვნები</t>
  </si>
  <si>
    <t>6</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</si>
  <si>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https://www.nbg.gov.ge/index.php?m=340&amp;newsid=3901</t>
  </si>
  <si>
    <t>ცხრილი 10</t>
  </si>
  <si>
    <t xml:space="preserve">საბალანსო ღირებულება ინდივიდუალურ ფინანსურ ანგარიშგებებში ფასს-ის სტანდარტების მიხედვით </t>
  </si>
  <si>
    <t>კავშირი Capital-ის ცხრილთან</t>
  </si>
  <si>
    <t xml:space="preserve"> ცხრილი 9 (Capital), N10 </t>
  </si>
  <si>
    <t>მ.შ. სუბორდინირებული ვალდებულებების საკონტრაქტო ღირებულება</t>
  </si>
  <si>
    <t xml:space="preserve"> ცხრილი 9 (Capital), N38</t>
  </si>
  <si>
    <t>ცხრილი 11</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</si>
  <si>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</si>
  <si>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d</t>
  </si>
  <si>
    <t>e</t>
  </si>
  <si>
    <t>f</t>
  </si>
  <si>
    <t>g</t>
  </si>
  <si>
    <t>h</t>
  </si>
  <si>
    <t>i</t>
  </si>
  <si>
    <t>j</t>
  </si>
  <si>
    <t>k</t>
  </si>
  <si>
    <t>l</t>
  </si>
  <si>
    <t>m</t>
  </si>
  <si>
    <t>n</t>
  </si>
  <si>
    <t>o</t>
  </si>
  <si>
    <t>p</t>
  </si>
  <si>
    <t>q</t>
  </si>
  <si>
    <t xml:space="preserve">                                                                                                                                           რისკის წონები
აქტივების კლასები</t>
  </si>
  <si>
    <t>საკრედიტო რისკის მიხედვით შეწონილი რისკის პოზიციები საკრედიტო რისკის მიტიგაციამდე</t>
  </si>
  <si>
    <t>საბალანსო</t>
  </si>
  <si>
    <t>გარესაბალანსო</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</si>
  <si>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</si>
  <si>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</si>
  <si>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</si>
  <si>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</si>
  <si>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ორგანიზაციების/ინსტიტუტების მიმართ</t>
  </si>
  <si>
    <t>უპირობო და პირობითი მოთხოვნები კომერციული ბანკების მიმართ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</si>
  <si>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</si>
  <si>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</si>
  <si>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უძრავი ქონებით</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</si>
  <si>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</si>
  <si>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</si>
  <si>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</si>
  <si>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</si>
  <si>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სხვა ერთეულები</t>
  </si>
  <si>
    <t>ცხრილი 12</t>
  </si>
  <si>
    <t>საკრედიტო რისკის მიტიგაცია 
(საბალანსო და გარესაბალანსო ელემენტები)</t>
  </si>
  <si>
    <t>კრედიტის დაფინანსებული უზრუნველყოფა</t>
  </si>
  <si>
    <t>კრედიტის დაუფინანსებელი უზრუნველყოფა</t>
  </si>
  <si>
    <t>სულ საბალანსო ელემენტების საკრედიტო მიტიგაცია</t>
  </si>
  <si>
    <t>სულ გარესაბალანსო ელემენტების საკრედიტო მიტიგაცია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</si>
  <si>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</si>
  <si>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</si>
  <si>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</si>
  <si>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</si>
  <si>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</si>
  <si>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</si>
  <si>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</si>
  <si>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</si>
  <si>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ოქროს სტანდარტული ზოდი ან მისი ექვივალენტი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</si>
  <si>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</si>
  <si>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</si>
  <si>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</si>
  <si>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</si>
  <si>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</si>
  <si>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</si>
  <si>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</si>
  <si>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</si>
  <si>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</si>
  <si>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ცხრილი 13</t>
  </si>
  <si>
    <t>სტანდარტიზებული მიდგომა - საკრედიტო რისკის მიტიგაცია</t>
  </si>
  <si>
    <t>საბალანსო ელემენტები - რისკის პოზიციების ღირებულება</t>
  </si>
  <si>
    <t xml:space="preserve">გარესაბალანსო ელემენტები </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</si>
  <si>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</si>
  <si>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</si>
  <si>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</si>
  <si>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</si>
  <si>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 xml:space="preserve">გარესაბალანსო ელემენტები კონვერსიის ფაქტორის გათვალისწინებით </t>
  </si>
  <si>
    <t>ცხრილი 14</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</si>
  <si>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</si>
  <si>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</si>
  <si>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</si>
  <si>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უცხ. ვალუტა</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</si>
  <si>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</si>
  <si>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</si>
  <si>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</si>
  <si>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</si>
  <si>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</si>
  <si>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</si>
  <si>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</si>
  <si>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</si>
  <si>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</si>
  <si>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</si>
  <si>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</si>
  <si>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</si>
  <si>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</si>
  <si>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</si>
  <si>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</si>
  <si>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</si>
  <si>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</si>
  <si>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</si>
  <si>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15</t>
  </si>
  <si>
    <t xml:space="preserve">ნომინალური 
ღირებულება </t>
  </si>
  <si>
    <t>პროცენტი</t>
  </si>
  <si>
    <t>რისკის პოზიციების 
ღირებულება</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</si>
  <si>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</si>
  <si>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</si>
  <si>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</si>
  <si>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</si>
  <si>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</si>
  <si>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</si>
  <si>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</si>
  <si>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</si>
  <si>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ცხრილი 15.1</t>
  </si>
  <si>
    <t xml:space="preserve">საბალანსო ელემენტები </t>
  </si>
  <si>
    <t>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</si>
  <si>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</si>
  <si>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</si>
  <si>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წარმოებული ინსტრუმენტები</t>
  </si>
  <si>
    <t xml:space="preserve">წარმოებული ინსტრუმენტები ჩანაცვლების ღირებულება </t>
  </si>
  <si>
    <t>მოსალოდნელი საკრედიტო რისკის პოზიციები</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</si>
  <si>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</si>
  <si>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</si>
  <si>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</si>
  <si>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</si>
  <si>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</si>
  <si>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</si>
  <si>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</si>
  <si>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</si>
  <si>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</si>
  <si>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</si>
  <si>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</si>
  <si>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</si>
  <si>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</si>
  <si>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</si>
  <si>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</si>
  <si>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</si>
  <si>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</si>
  <si>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</si>
  <si>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</si>
  <si>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</si>
  <si>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</si>
  <si>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</si>
  <si>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</si>
  <si>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</si>
  <si>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</si>
  <si>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</si>
  <si>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</si>
  <si>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</si>
  <si>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</si>
  <si>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</si>
  <si>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</si>
  <si>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</si>
  <si>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</si>
  <si>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</si>
  <si>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 COVID 19-თან დაკავშირებული რეზერვები აკლდება საბალანსო ელემენტებს</t>
  </si>
  <si>
    <t>ცხრილი 16</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</si>
  <si>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</si>
  <si>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</si>
  <si>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</si>
  <si>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</si>
  <si>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</si>
  <si>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</si>
  <si>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</si>
  <si>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</si>
  <si>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</si>
  <si>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</si>
  <si>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</si>
  <si>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</si>
  <si>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</si>
  <si>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</si>
  <si>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</si>
  <si>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</si>
  <si>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</si>
  <si>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</si>
  <si>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</si>
  <si>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</si>
  <si>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</si>
  <si>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</si>
  <si>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</si>
  <si>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</si>
  <si>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</si>
  <si>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</si>
  <si>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</si>
  <si>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</si>
  <si>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</si>
  <si>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</si>
  <si>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</si>
  <si>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</si>
  <si>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</si>
  <si>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</si>
  <si>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</si>
  <si>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</si>
  <si>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</si>
  <si>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</si>
  <si>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განუსაზღვრელი დაფარვის ვადით</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</si>
  <si>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</si>
  <si>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ცხრილი 18</t>
  </si>
  <si>
    <t>ა</t>
  </si>
  <si>
    <t>ბ</t>
  </si>
  <si>
    <t>გ</t>
  </si>
  <si>
    <t>დ</t>
  </si>
  <si>
    <t>ე</t>
  </si>
  <si>
    <t>ვ</t>
  </si>
  <si>
    <t xml:space="preserve">                                                                             საბალანსო აქტივები                                                                                                         
                                                                                                                                                                                                                                                                                                            რისკის კლასები</t>
  </si>
  <si>
    <t>მთლიანი ღირებულება</t>
  </si>
  <si>
    <t>მოსალოდნელი საკრედიტო ზარალი</t>
  </si>
  <si>
    <t>ზოგადი რეზერვი</t>
  </si>
  <si>
    <t>კუმულატიური ჩამოწერა ანგარიშგების პერიოდზე</t>
  </si>
  <si>
    <t>აქტივების წმინდა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</si>
  <si>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</si>
  <si>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</si>
  <si>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t>
  </si>
  <si>
    <t>მათ შორის: სესხები</t>
  </si>
  <si>
    <t>მათ შორის: სავალო ფასიანი ქაღალდები</t>
  </si>
  <si>
    <t>ცხრილი 19</t>
  </si>
  <si>
    <t xml:space="preserve">                                                                               საბალანსო აქტივები
                                                                                                                                                                                                             სექტორი დაფარვის წყაროს/კონტრაგენტის ტიპის მიხედვით</t>
  </si>
  <si>
    <t>მოსალოდენელი საკრედიტო ზარალი</t>
  </si>
  <si>
    <t>სახელმწიფო ორგანიზაციები</t>
  </si>
  <si>
    <t>საფინანსო ინსტიტუტები</t>
  </si>
  <si>
    <t>ლომბარდები</t>
  </si>
  <si>
    <t>უძრავი ქონების დეველოპმენტი</t>
  </si>
  <si>
    <t>უძრავი ქონების მენეჯმენტი</t>
  </si>
  <si>
    <t>სამშენებლო კომპანიები (არა დეველოპერები)</t>
  </si>
  <si>
    <t>სამომხმარებლო სესხები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</si>
  <si>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</si>
  <si>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</si>
  <si>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</si>
  <si>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</si>
  <si>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</si>
  <si>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</si>
  <si>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</si>
  <si>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</si>
  <si>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</si>
  <si>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</si>
  <si>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 სადგურებსა და ბენზინის იმპორტიორებზე გაცემული სესხები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</si>
  <si>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</si>
  <si>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</si>
  <si>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</si>
  <si>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</si>
  <si>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</si>
  <si>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</si>
  <si>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</si>
  <si>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 xml:space="preserve">აქტივები, რომლებზეც არ არის აღრიცხული დაფარვის წყაროს სექტორი </t>
  </si>
  <si>
    <t>ცხრილი 20</t>
  </si>
  <si>
    <t>მოსალოდნელი საკრედიტო ზარალის ცვლილება სესხებზე და კორპორატიულ სავალო ფასიანი ქაღალდებზე</t>
  </si>
  <si>
    <t>სესხები</t>
  </si>
  <si>
    <t>კორპორატიული ფასიანი ქაღალდები</t>
  </si>
  <si>
    <t>მოსალოდნელი საკრედიტო ზარალი საანგარიშგებო პერიოდის დასაწყისისათვის</t>
  </si>
  <si>
    <t>მოსალოდნელი საკრედიტო ზარალის ზრდა</t>
  </si>
  <si>
    <t>ახალი აქტივების წარმოშობის შედეგად</t>
  </si>
  <si>
    <t>არსებული აქტივების ხარისხის გაუარესების შედეგად</t>
  </si>
  <si>
    <t>მოსალოდნელი საკრედიტო ზარალის შემცირება</t>
  </si>
  <si>
    <t>აქტივების ჩამოწერის შედეგად</t>
  </si>
  <si>
    <t>აქტივების დაფარვის შედეგად</t>
  </si>
  <si>
    <t>აქტივების ხარისხის გაუმჯობესების შედეგად</t>
  </si>
  <si>
    <t>აქტივების მოსალოდნელი საკრედიტო ზარალის შემცირება/ზრდა ლარის მიმართ უცხოური ვალუტის ცვლილების შედეგად</t>
  </si>
  <si>
    <t>აქტივების მოსალოდნელი საკრედიტო ზარალი საანგარიშგებო პერიოდის ბოლოსათვის</t>
  </si>
  <si>
    <t>ცხრილი 21</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</si>
  <si>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</si>
  <si>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</si>
  <si>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</si>
  <si>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</si>
  <si>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</si>
  <si>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</si>
  <si>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საკრედიტო რისკის დონის შემცირების გზით</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</si>
  <si>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</si>
  <si>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</si>
  <si>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</si>
  <si>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</si>
  <si>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</si>
  <si>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</si>
  <si>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</si>
  <si>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ცხრილი 22</t>
  </si>
  <si>
    <t>სესხების, სავალო ფასიანი ქაღალდების და გარესაბალანსო ვალდებულებების განაწილება, საკრედიტო რისკის დონის,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</si>
  <si>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მოსალოდენელი საკრედიტო ზარალის დაკლებამდე</t>
  </si>
  <si>
    <t>1-ი დონის საკრედიტო რისკი</t>
  </si>
  <si>
    <t>მე-2 დონის საკრედიტო რისკი</t>
  </si>
  <si>
    <t>მე-3 დონის საკრედიტო რისკი</t>
  </si>
  <si>
    <t>შეძენილი ან გამოშვებული გაუფასურებული ფინანსური ინსტრუმნეტი (POCI)</t>
  </si>
  <si>
    <t>ვადაგადაცილება ≤ 30 დღეზე</t>
  </si>
  <si>
    <r>
      <t xml:space="preserve">ვადაგადაცილება &gt; 30 დღეზე  </t>
    </r>
    <r>
      <rPr>
        <sz val="9"/>
        <rFont val="Calibri"/>
        <family val="2"/>
      </rPr>
      <t>≤</t>
    </r>
    <r>
      <rPr>
        <sz val="9"/>
        <rFont val="Sylfaen"/>
        <family val="1"/>
      </rPr>
      <t xml:space="preserve"> 90 დღეზე </t>
    </r>
  </si>
  <si>
    <t>ვადაგადაცილება &gt; 90 დღეზე</t>
  </si>
  <si>
    <r>
      <t xml:space="preserve">ვადაგადაცილება &gt; 90 დღეზე  </t>
    </r>
    <r>
      <rPr>
        <sz val="9"/>
        <rFont val="Calibri"/>
        <family val="2"/>
      </rPr>
      <t>≤</t>
    </r>
    <r>
      <rPr>
        <sz val="9"/>
        <rFont val="Sylfaen"/>
        <family val="1"/>
      </rPr>
      <t xml:space="preserve"> 180 დღეზე </t>
    </r>
  </si>
  <si>
    <r>
      <t xml:space="preserve">ვადაგადაცილება &gt; 180 დღეზე  </t>
    </r>
    <r>
      <rPr>
        <sz val="9"/>
        <rFont val="Calibri"/>
        <family val="2"/>
      </rPr>
      <t>≤</t>
    </r>
    <r>
      <rPr>
        <sz val="9"/>
        <rFont val="Sylfaen"/>
        <family val="1"/>
      </rPr>
      <t xml:space="preserve"> 1 წელზე </t>
    </r>
  </si>
  <si>
    <r>
      <t xml:space="preserve">ვადაგადაცილება &gt; 1 წელზე  </t>
    </r>
    <r>
      <rPr>
        <sz val="9"/>
        <rFont val="Calibri"/>
        <family val="2"/>
      </rPr>
      <t>≤</t>
    </r>
    <r>
      <rPr>
        <sz val="9"/>
        <rFont val="Sylfaen"/>
        <family val="1"/>
      </rPr>
      <t xml:space="preserve"> 2 წელზე</t>
    </r>
  </si>
  <si>
    <r>
      <t xml:space="preserve">ვადაგადაცილება &gt; 2 წელზე  </t>
    </r>
    <r>
      <rPr>
        <sz val="9"/>
        <rFont val="Calibri"/>
        <family val="2"/>
      </rPr>
      <t>≤</t>
    </r>
    <r>
      <rPr>
        <sz val="9"/>
        <rFont val="Sylfaen"/>
        <family val="1"/>
      </rPr>
      <t xml:space="preserve"> 5 წელზე</t>
    </r>
  </si>
  <si>
    <t>ვადაგადაცილება &gt; 5 წელზე</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</si>
  <si>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</si>
  <si>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</si>
  <si>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</si>
  <si>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</si>
  <si>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</si>
  <si>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</si>
  <si>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გარესაბალანსო ვალდებულებები</t>
  </si>
  <si>
    <t>ცხრილი 23</t>
  </si>
  <si>
    <t xml:space="preserve">სესხების მთლიანი ღირებულების,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განაწილება საკრედიტო რისკის და ვადაგადაცილებების მიხედვით.
  </t>
  </si>
  <si>
    <t>სესხების მთლიანი ღირებულება</t>
  </si>
  <si>
    <t xml:space="preserve">ვადაგადაცილება &gt; 30 დღეზე  ≤ 90 დღეზე </t>
  </si>
  <si>
    <t xml:space="preserve">ვადაგადაცილება &gt; 90 დღეზე  ≤ 180 დღეზე </t>
  </si>
  <si>
    <t xml:space="preserve">ვადაგადაცილება &gt; 180 დღეზე  ≤ 1 წელზე </t>
  </si>
  <si>
    <t>ვადაგადაცილება &gt; 1 წელზე  ≤ 2 წელზე</t>
  </si>
  <si>
    <t>ვადაგადაცილება &gt; 2 წელზე  ≤ 5 წელზე</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</si>
  <si>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</si>
  <si>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</si>
  <si>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</si>
  <si>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</si>
  <si>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</si>
  <si>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</si>
  <si>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</si>
  <si>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</si>
  <si>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</si>
  <si>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</si>
  <si>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მოსალოდნელი საკრედიტო ზარალი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</si>
  <si>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</si>
  <si>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</si>
  <si>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</si>
  <si>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</si>
  <si>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</si>
  <si>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</si>
  <si>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</si>
  <si>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</si>
  <si>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</si>
  <si>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</si>
  <si>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</si>
  <si>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ცხრილი 24</t>
  </si>
  <si>
    <t xml:space="preserve">                                                                                                     სესხები
                                                                                                                                                                                                             სექტორი დაფარვის წყაროს მიხედვით</t>
  </si>
  <si>
    <t>მოსლაოდნელი საკრედიტო ზარალი</t>
  </si>
  <si>
    <t xml:space="preserve">სესხები, რომლებზეც არ არის აღრიცხული დაფარვის წყაროს სექტორი </t>
  </si>
  <si>
    <t>ცხრილი 25</t>
  </si>
  <si>
    <t>ზ</t>
  </si>
  <si>
    <t>თ</t>
  </si>
  <si>
    <t>ი</t>
  </si>
  <si>
    <t xml:space="preserve">                             სესხების და კორპორატიული ფასიანი ქაღალდების მთლიანი ღირებულების და გარესაბალანსო ვალდებულებების ნომინალური ღირებულების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</si>
  <si>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</si>
  <si>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</si>
  <si>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</si>
  <si>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ოქრო/ოქროს ნაკეთობებით უზრუნველყოფილი ვალდებულების საბაზრო ღირებულება</t>
  </si>
  <si>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</si>
  <si>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</si>
  <si>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</si>
  <si>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</si>
  <si>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</si>
  <si>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</si>
  <si>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</si>
  <si>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</si>
  <si>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</si>
  <si>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</si>
  <si>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ცხრილი 26</t>
  </si>
  <si>
    <t>საცალო პროდუქტები</t>
  </si>
  <si>
    <t>სესხების ძირი თანხა</t>
  </si>
  <si>
    <t xml:space="preserve">სესხების რაოდენობა </t>
  </si>
  <si>
    <t>საშუალო შეწონილი ნომინალური საპროცენტო განაკვეთი კვარტლის შიგნით გაცემულ სესხებზე</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</si>
  <si>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</si>
  <si>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სესხის ნაშთზე</t>
  </si>
  <si>
    <t>სესხების საშუალო შეწონილი ვადიანობა სესხის ნაშთზე დარჩენილი ვადის მიხედვით (თვეებში)</t>
  </si>
  <si>
    <t>სატრანსპორტო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</si>
  <si>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</si>
  <si>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</si>
  <si>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</si>
  <si>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</si>
  <si>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</si>
  <si>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</si>
  <si>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</si>
  <si>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უძრავი ქონების რემონტისათვის</t>
  </si>
  <si>
    <t>საცალო ლომბარდული სესხები</t>
  </si>
  <si>
    <t>სტუდენტური სესხები</t>
  </si>
  <si>
    <t>სულ საცალო პროდუქტები</t>
  </si>
  <si>
    <t>მათ შორის: პენსიის ან სხვა სახელმწიფო სოციალური გასაცემელის გათვალისწინებით გაცემული სესხები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</si>
</sst>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409]mmm\-yy;@"/>
    <numFmt numFmtId="165" formatCode="#,##0_ ;[Red]\-#,##0\ "/>
    <numFmt numFmtId="166" formatCode="_(* #,##0_);_(* \(#,##0\);_(* &quot;-&quot;??_);_(@_)"/>
    <numFmt numFmtId="167" formatCode="0.0%"/>
    <numFmt numFmtId="168" formatCode="_(* #,##0.0_);_(* \(#,##0.0\);_(* &quot;-&quot;??_);_(@_)"/>
    <numFmt numFmtId="169" formatCode="_(#,##0_);_(\(#,##0\);_(\ \-\ _);_(@_)"/>
    <numFmt numFmtId="170" formatCode="0.000"/>
    <numFmt numFmtId="171" formatCode="_-* #,##0.00_-;\-* #,##0.00_-;_-* &quot;-&quot;??_-;_-@_-"/>
  </numFmts>
  <fonts count="7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name val="Arial"/>
      <family val="2"/>
    </font>
    <font>
      <b/>
      <sz val="11"/>
      <name val="Sylfaen"/>
      <family val="1"/>
    </font>
    <font>
      <sz val="10"/>
      <color theme="1"/>
      <name val="Sylfaen"/>
      <family val="1"/>
    </font>
    <font>
      <sz val="10"/>
      <name val="Calibri"/>
      <family val="2"/>
      <scheme val="minor"/>
    </font>
    <font>
      <sz val="10"/>
      <name val="Sylfaen"/>
      <family val="1"/>
    </font>
    <font>
      <sz val="11"/>
      <color theme="1"/>
      <name val="Sylfaen"/>
      <family val="1"/>
    </font>
    <font>
      <u/>
      <sz val="10"/>
      <color indexed="12"/>
      <name val="Arial"/>
      <family val="2"/>
    </font>
    <font>
      <b/>
      <i/>
      <sz val="10"/>
      <color theme="1"/>
      <name val="Sylfaen"/>
      <family val="1"/>
    </font>
    <font>
      <sz val="10"/>
      <color theme="1"/>
      <name val="Calibri"/>
      <family val="1"/>
      <scheme val="minor"/>
    </font>
    <font>
      <b/>
      <sz val="10"/>
      <name val="Sylfaen"/>
      <family val="1"/>
    </font>
    <font>
      <b/>
      <sz val="10"/>
      <name val="Calibri"/>
      <family val="2"/>
      <scheme val="minor"/>
    </font>
    <font>
      <b/>
      <i/>
      <sz val="10"/>
      <color theme="1"/>
      <name val="Calibri"/>
      <family val="2"/>
      <scheme val="minor"/>
    </font>
    <font>
      <b/>
      <i/>
      <sz val="11"/>
      <color theme="1"/>
      <name val="Calibri"/>
      <family val="2"/>
      <scheme val="minor"/>
    </font>
    <font>
      <sz val="10"/>
      <name val="MS Sans Serif"/>
      <family val="2"/>
    </font>
    <font>
      <b/>
      <i/>
      <sz val="10"/>
      <name val="Calibri"/>
      <family val="2"/>
      <scheme val="minor"/>
    </font>
    <font>
      <sz val="10"/>
      <color rgb="FF333333"/>
      <name val="Sylfaen"/>
      <family val="1"/>
    </font>
    <font>
      <sz val="10"/>
      <color rgb="FFFF0000"/>
      <name val="Calibri"/>
      <family val="2"/>
      <scheme val="minor"/>
    </font>
    <font>
      <b/>
      <sz val="12"/>
      <color theme="1"/>
      <name val="Calibri"/>
      <family val="2"/>
      <scheme val="minor"/>
    </font>
    <font>
      <b/>
      <sz val="8"/>
      <name val="Verdana"/>
      <family val="2"/>
    </font>
    <font>
      <sz val="8"/>
      <name val="Verdana"/>
      <family val="2"/>
    </font>
    <font>
      <b/>
      <sz val="8"/>
      <color indexed="8"/>
      <name val="Verdana"/>
      <family val="2"/>
    </font>
    <font>
      <sz val="8"/>
      <color indexed="8"/>
      <name val="Verdana"/>
      <family val="2"/>
    </font>
    <font>
      <b/>
      <sz val="11"/>
      <color indexed="8"/>
      <name val="Calibri"/>
      <family val="2"/>
      <scheme val="minor"/>
    </font>
    <font>
      <b/>
      <sz val="8"/>
      <color rgb="FF000000"/>
      <name val="Verdana"/>
      <family val="2"/>
    </font>
    <font>
      <sz val="11"/>
      <name val="Calibri"/>
      <family val="2"/>
      <charset val="204"/>
      <scheme val="minor"/>
    </font>
    <font>
      <i/>
      <sz val="11"/>
      <name val="Calibri"/>
      <family val="2"/>
      <scheme val="minor"/>
    </font>
    <font>
      <i/>
      <sz val="11"/>
      <name val="Calibri"/>
      <family val="2"/>
      <charset val="204"/>
      <scheme val="minor"/>
    </font>
    <font>
      <sz val="8"/>
      <color theme="1"/>
      <name val="Calibri"/>
      <family val="2"/>
      <scheme val="minor"/>
    </font>
    <font>
      <b/>
      <sz val="10"/>
      <color theme="1"/>
      <name val="Calibri"/>
      <family val="2"/>
      <scheme val="minor"/>
    </font>
    <font>
      <i/>
      <sz val="10"/>
      <name val="Sylfaen"/>
      <family val="1"/>
    </font>
    <font>
      <sz val="10"/>
      <color theme="1"/>
      <name val="Segoe UI"/>
      <family val="2"/>
    </font>
    <font>
      <sz val="10"/>
      <color theme="1"/>
      <name val="Times New Roman"/>
      <family val="1"/>
    </font>
    <font>
      <sz val="8"/>
      <color rgb="FFFF0000"/>
      <name val="Calibri"/>
      <family val="2"/>
      <scheme val="minor"/>
    </font>
    <font>
      <sz val="10"/>
      <name val="Arial"/>
      <family val="2"/>
      <charset val="204"/>
    </font>
    <font>
      <sz val="10"/>
      <name val="Geo_Arial"/>
      <family val="2"/>
    </font>
    <font>
      <sz val="10"/>
      <color rgb="FFFF0000"/>
      <name val="Sylfaen"/>
      <family val="1"/>
    </font>
    <font>
      <b/>
      <sz val="10"/>
      <color rgb="FFFF0000"/>
      <name val="Calibri"/>
      <family val="2"/>
      <scheme val="minor"/>
    </font>
    <font>
      <b/>
      <sz val="10"/>
      <name val="Calibri"/>
      <family val="1"/>
      <scheme val="minor"/>
    </font>
    <font>
      <sz val="10"/>
      <name val="Calibri"/>
      <family val="1"/>
      <scheme val="minor"/>
    </font>
    <font>
      <b/>
      <sz val="10"/>
      <color theme="1"/>
      <name val="Sylfaen"/>
      <family val="1"/>
    </font>
    <font>
      <i/>
      <sz val="10"/>
      <color theme="1"/>
      <name val="Sylfaen"/>
      <family val="1"/>
    </font>
    <font>
      <i/>
      <sz val="11"/>
      <color theme="1"/>
      <name val="Calibri"/>
      <family val="2"/>
      <scheme val="minor"/>
    </font>
    <font>
      <sz val="10"/>
      <name val="SPKolheti"/>
      <family val="1"/>
    </font>
    <font>
      <sz val="9"/>
      <color theme="1"/>
      <name val="Calibri"/>
      <family val="2"/>
      <scheme val="minor"/>
    </font>
    <font>
      <i/>
      <sz val="10"/>
      <color theme="1"/>
      <name val="Calibri"/>
      <family val="2"/>
      <scheme val="minor"/>
    </font>
    <font>
      <b/>
      <sz val="9"/>
      <name val="Arial"/>
      <family val="2"/>
    </font>
    <font>
      <b/>
      <sz val="10"/>
      <name val="Arial"/>
      <family val="2"/>
    </font>
    <font>
      <sz val="9"/>
      <name val="Arial"/>
      <family val="2"/>
    </font>
    <font>
      <sz val="9"/>
      <name val="Calibri"/>
      <family val="2"/>
    </font>
    <font>
      <b/>
      <sz val="9"/>
      <name val="Calibri"/>
      <family val="2"/>
    </font>
    <font>
      <sz val="11"/>
      <color indexed="8"/>
      <name val="Calibri"/>
      <family val="2"/>
    </font>
    <font>
      <sz val="8"/>
      <name val="Arial"/>
      <family val="2"/>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Calibri"/>
      <family val="1"/>
      <scheme val="minor"/>
    </font>
    <font>
      <sz val="9"/>
      <color rgb="FFFF0000"/>
      <name val="Sylfaen"/>
      <family val="1"/>
    </font>
    <font>
      <i/>
      <sz val="9"/>
      <name val="Calibri"/>
      <family val="1"/>
      <scheme val="minor"/>
    </font>
    <font>
      <b/>
      <sz val="9"/>
      <name val="Calibri"/>
      <family val="1"/>
      <scheme val="minor"/>
    </font>
    <font>
      <b/>
      <sz val="9"/>
      <color rgb="FFFF0000"/>
      <name val="Sylfaen"/>
      <family val="1"/>
    </font>
    <font>
      <b/>
      <u/>
      <sz val="9"/>
      <color theme="1"/>
      <name val="Sylfaen"/>
      <family val="1"/>
    </font>
    <font>
      <sz val="9"/>
      <color rgb="FFFF0000"/>
      <name val="Calibri"/>
      <family val="1"/>
      <scheme val="minor"/>
    </font>
    <font>
      <sz val="9"/>
      <color theme="1"/>
      <name val="Calibri"/>
      <family val="1"/>
      <scheme val="minor"/>
    </font>
    <font>
      <b/>
      <sz val="8"/>
      <name val="Sylfaen"/>
      <family val="1"/>
    </font>
    <font>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lightGray">
        <fgColor indexed="22"/>
      </patternFill>
    </fill>
    <fill>
      <patternFill patternType="lightGray">
        <fgColor indexed="22"/>
        <bgColor theme="0" tint="-4.9989318521683403E-2"/>
      </patternFill>
    </fill>
    <fill>
      <patternFill patternType="solid">
        <fgColor rgb="FFFFFFFF"/>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5F5F5F"/>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theme="1" tint="0.49998474074526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auto="1"/>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theme="6" tint="-0.499984740745262"/>
      </left>
      <right style="thin">
        <color theme="6" tint="-0.499984740745262"/>
      </right>
      <top style="thin">
        <color indexed="64"/>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bottom/>
      <diagonal/>
    </border>
    <border>
      <left style="thin">
        <color theme="6" tint="-0.499984740745262"/>
      </left>
      <right style="thin">
        <color theme="6" tint="-0.499984740745262"/>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auto="1"/>
      </right>
      <top style="medium">
        <color auto="1"/>
      </top>
      <bottom style="medium">
        <color indexed="64"/>
      </bottom>
      <diagonal/>
    </border>
    <border>
      <left style="thin">
        <color auto="1"/>
      </left>
      <right/>
      <top style="medium">
        <color auto="1"/>
      </top>
      <bottom style="medium">
        <color auto="1"/>
      </bottom>
      <diagonal/>
    </border>
    <border>
      <left style="thin">
        <color auto="1"/>
      </left>
      <right style="medium">
        <color indexed="64"/>
      </right>
      <top style="medium">
        <color auto="1"/>
      </top>
      <bottom style="medium">
        <color indexed="64"/>
      </bottom>
      <diagonal/>
    </border>
    <border>
      <left/>
      <right style="thin">
        <color indexed="64"/>
      </right>
      <top style="medium">
        <color indexed="64"/>
      </top>
      <bottom/>
      <diagonal/>
    </border>
    <border>
      <left/>
      <right style="medium">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medium">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xf numFmtId="0" fontId="5" fillId="0" borderId="0"/>
    <xf numFmtId="0" fontId="5" fillId="0" borderId="0"/>
    <xf numFmtId="164" fontId="18" fillId="4" borderId="0"/>
    <xf numFmtId="0" fontId="5" fillId="0" borderId="0"/>
    <xf numFmtId="0" fontId="38" fillId="0" borderId="0"/>
    <xf numFmtId="0" fontId="38" fillId="0" borderId="0"/>
    <xf numFmtId="43" fontId="1" fillId="0" borderId="0" applyFont="0" applyFill="0" applyBorder="0" applyAlignment="0" applyProtection="0"/>
    <xf numFmtId="0" fontId="1" fillId="0" borderId="0"/>
    <xf numFmtId="0" fontId="1"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alignment vertical="center"/>
    </xf>
    <xf numFmtId="43" fontId="5" fillId="0" borderId="0" applyFont="0" applyFill="0" applyBorder="0" applyAlignment="0" applyProtection="0"/>
    <xf numFmtId="43" fontId="55" fillId="0" borderId="0" applyFont="0" applyFill="0" applyBorder="0" applyAlignment="0" applyProtection="0"/>
    <xf numFmtId="0" fontId="5" fillId="0" borderId="0"/>
    <xf numFmtId="171" fontId="1" fillId="0" borderId="0" applyFont="0" applyFill="0" applyBorder="0" applyAlignment="0" applyProtection="0"/>
  </cellStyleXfs>
  <cellXfs count="844">
    <xf numFmtId="0" fontId="0" fillId="0" borderId="0" xfId="0"/>
    <xf numFmtId="0" fontId="4" fillId="0" borderId="1" xfId="0" applyFont="1" applyBorder="1"/>
    <xf numFmtId="0" fontId="6" fillId="0" borderId="1" xfId="4" applyFont="1" applyBorder="1" applyAlignment="1">
      <alignment horizontal="center" vertical="center"/>
    </xf>
    <xf numFmtId="0" fontId="7" fillId="0" borderId="1" xfId="0" applyFont="1" applyBorder="1"/>
    <xf numFmtId="0" fontId="8" fillId="2" borderId="1" xfId="4" applyFont="1" applyFill="1" applyBorder="1" applyAlignment="1">
      <alignment horizontal="right" indent="1"/>
    </xf>
    <xf numFmtId="0" fontId="9" fillId="2" borderId="1" xfId="4" applyFont="1" applyFill="1" applyBorder="1" applyAlignment="1">
      <alignment horizontal="left" wrapText="1" indent="1"/>
    </xf>
    <xf numFmtId="0" fontId="10" fillId="0" borderId="1" xfId="0" applyFont="1" applyBorder="1"/>
    <xf numFmtId="0" fontId="1" fillId="0" borderId="0" xfId="0" applyFont="1"/>
    <xf numFmtId="0" fontId="9" fillId="0" borderId="1" xfId="4" applyFont="1" applyBorder="1" applyAlignment="1">
      <alignment horizontal="left" wrapText="1" indent="1"/>
    </xf>
    <xf numFmtId="0" fontId="8" fillId="2" borderId="2" xfId="4" applyFont="1" applyFill="1" applyBorder="1" applyAlignment="1">
      <alignment horizontal="right" indent="1"/>
    </xf>
    <xf numFmtId="0" fontId="9" fillId="0" borderId="2" xfId="4" applyFont="1" applyBorder="1" applyAlignment="1">
      <alignment horizontal="left" wrapText="1" indent="1"/>
    </xf>
    <xf numFmtId="0" fontId="11" fillId="0" borderId="1" xfId="3" applyBorder="1" applyAlignment="1" applyProtection="1"/>
    <xf numFmtId="0" fontId="12" fillId="0" borderId="0" xfId="0" applyFont="1" applyAlignment="1">
      <alignment wrapText="1"/>
    </xf>
    <xf numFmtId="0" fontId="8" fillId="2" borderId="1" xfId="4" applyFont="1" applyFill="1" applyBorder="1"/>
    <xf numFmtId="0" fontId="11" fillId="0" borderId="1" xfId="3" applyFill="1" applyBorder="1" applyAlignment="1" applyProtection="1"/>
    <xf numFmtId="0" fontId="11" fillId="0" borderId="1" xfId="3" applyFill="1" applyBorder="1" applyAlignment="1" applyProtection="1">
      <alignment horizontal="left" vertical="center" wrapText="1"/>
    </xf>
    <xf numFmtId="49" fontId="13" fillId="0" borderId="1" xfId="0" applyNumberFormat="1" applyFont="1" applyBorder="1" applyAlignment="1">
      <alignment horizontal="right" vertical="center" wrapText="1"/>
    </xf>
    <xf numFmtId="0" fontId="11" fillId="0" borderId="1" xfId="3" applyFill="1" applyBorder="1" applyAlignment="1" applyProtection="1">
      <alignment horizontal="left" vertical="center"/>
    </xf>
    <xf numFmtId="0" fontId="11" fillId="0" borderId="1" xfId="3" applyFill="1" applyBorder="1" applyAlignment="1" applyProtection="1">
      <alignment horizontal="left" vertical="top" wrapText="1"/>
    </xf>
    <xf numFmtId="0" fontId="4" fillId="0" borderId="0" xfId="0" applyFont="1"/>
    <xf numFmtId="0" fontId="9" fillId="0" borderId="0" xfId="5" applyFont="1"/>
    <xf numFmtId="43" fontId="8" fillId="0" borderId="0" xfId="1" applyFont="1"/>
    <xf numFmtId="0" fontId="8" fillId="0" borderId="0" xfId="0" applyFont="1"/>
    <xf numFmtId="14" fontId="4" fillId="0" borderId="0" xfId="0" applyNumberFormat="1" applyFont="1" applyAlignment="1">
      <alignment horizontal="left"/>
    </xf>
    <xf numFmtId="0" fontId="3" fillId="0" borderId="0" xfId="0" applyFont="1"/>
    <xf numFmtId="0" fontId="9" fillId="0" borderId="5" xfId="0" applyFont="1" applyBorder="1"/>
    <xf numFmtId="0" fontId="14" fillId="0" borderId="5" xfId="0" applyFont="1" applyBorder="1" applyAlignment="1">
      <alignment horizontal="center"/>
    </xf>
    <xf numFmtId="0" fontId="15" fillId="0" borderId="5" xfId="0" applyFont="1" applyBorder="1" applyAlignment="1">
      <alignment horizontal="center" vertical="center"/>
    </xf>
    <xf numFmtId="0" fontId="9" fillId="0" borderId="9" xfId="0" applyFont="1" applyBorder="1" applyAlignment="1">
      <alignment horizontal="right" vertical="center" wrapText="1"/>
    </xf>
    <xf numFmtId="0" fontId="8" fillId="0" borderId="10" xfId="0" applyFont="1" applyBorder="1" applyAlignment="1">
      <alignment vertical="center" wrapTex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9" xfId="0" applyFont="1" applyBorder="1" applyAlignment="1">
      <alignment horizontal="left" vertical="center" wrapText="1" indent="1"/>
    </xf>
    <xf numFmtId="0" fontId="9" fillId="0" borderId="12" xfId="0" applyFont="1" applyBorder="1" applyAlignment="1">
      <alignment horizontal="center" vertical="center" wrapText="1"/>
    </xf>
    <xf numFmtId="0" fontId="15" fillId="0" borderId="1" xfId="0" applyFont="1" applyBorder="1" applyAlignment="1">
      <alignment horizontal="center" vertical="center" wrapText="1"/>
    </xf>
    <xf numFmtId="0" fontId="19" fillId="0" borderId="1" xfId="0" applyFont="1" applyBorder="1" applyAlignment="1">
      <alignment horizontal="left" vertical="center" wrapText="1"/>
    </xf>
    <xf numFmtId="0" fontId="9" fillId="0" borderId="12" xfId="0" applyFont="1" applyBorder="1" applyAlignment="1">
      <alignment horizontal="right" vertical="center" wrapText="1"/>
    </xf>
    <xf numFmtId="0" fontId="8" fillId="0" borderId="1" xfId="0" applyFont="1" applyBorder="1" applyAlignment="1">
      <alignment vertical="center" wrapText="1"/>
    </xf>
    <xf numFmtId="165" fontId="8" fillId="0" borderId="1" xfId="0" applyNumberFormat="1" applyFont="1" applyBorder="1" applyAlignment="1" applyProtection="1">
      <alignment vertical="center" wrapText="1"/>
      <protection locked="0"/>
    </xf>
    <xf numFmtId="165" fontId="4" fillId="0" borderId="1" xfId="0" applyNumberFormat="1" applyFont="1" applyBorder="1" applyAlignment="1" applyProtection="1">
      <alignment vertical="center" wrapText="1"/>
      <protection locked="0"/>
    </xf>
    <xf numFmtId="165" fontId="4" fillId="0" borderId="19" xfId="0" applyNumberFormat="1" applyFont="1" applyBorder="1" applyAlignment="1" applyProtection="1">
      <alignment vertical="center" wrapText="1"/>
      <protection locked="0"/>
    </xf>
    <xf numFmtId="165" fontId="4" fillId="0" borderId="12" xfId="0" applyNumberFormat="1" applyFont="1" applyBorder="1" applyAlignment="1" applyProtection="1">
      <alignment vertical="center" wrapText="1"/>
      <protection locked="0"/>
    </xf>
    <xf numFmtId="166" fontId="0" fillId="0" borderId="0" xfId="1" applyNumberFormat="1" applyFont="1"/>
    <xf numFmtId="165" fontId="8" fillId="0" borderId="1" xfId="0" applyNumberFormat="1" applyFont="1" applyBorder="1" applyAlignment="1" applyProtection="1">
      <alignment horizontal="right" vertical="center" wrapText="1"/>
      <protection locked="0"/>
    </xf>
    <xf numFmtId="10" fontId="4" fillId="0" borderId="1" xfId="2" applyNumberFormat="1" applyFont="1" applyFill="1" applyBorder="1" applyAlignment="1" applyProtection="1">
      <alignment horizontal="right" vertical="center" wrapText="1"/>
      <protection locked="0"/>
    </xf>
    <xf numFmtId="10" fontId="4" fillId="0" borderId="12" xfId="2" applyNumberFormat="1" applyFont="1" applyBorder="1" applyAlignment="1" applyProtection="1">
      <alignment vertical="center" wrapText="1"/>
      <protection locked="0"/>
    </xf>
    <xf numFmtId="10" fontId="4" fillId="0" borderId="1" xfId="2" applyNumberFormat="1" applyFont="1" applyBorder="1" applyAlignment="1" applyProtection="1">
      <alignment vertical="center" wrapText="1"/>
      <protection locked="0"/>
    </xf>
    <xf numFmtId="10" fontId="4" fillId="0" borderId="19" xfId="2" applyNumberFormat="1" applyFont="1" applyBorder="1" applyAlignment="1" applyProtection="1">
      <alignment vertical="center" wrapText="1"/>
      <protection locked="0"/>
    </xf>
    <xf numFmtId="10" fontId="4" fillId="0" borderId="1" xfId="2" applyNumberFormat="1" applyFont="1" applyFill="1" applyBorder="1" applyAlignment="1" applyProtection="1">
      <alignment vertical="center" wrapText="1"/>
      <protection locked="0"/>
    </xf>
    <xf numFmtId="0" fontId="9" fillId="6" borderId="12" xfId="0" applyFont="1" applyFill="1" applyBorder="1" applyAlignment="1">
      <alignment horizontal="right" vertical="center"/>
    </xf>
    <xf numFmtId="0" fontId="9" fillId="6" borderId="1" xfId="0" applyFont="1" applyFill="1" applyBorder="1" applyAlignment="1">
      <alignment vertical="center"/>
    </xf>
    <xf numFmtId="9" fontId="9" fillId="0" borderId="1" xfId="2" applyFont="1" applyFill="1" applyBorder="1" applyAlignment="1" applyProtection="1">
      <alignment vertical="center"/>
      <protection locked="0"/>
    </xf>
    <xf numFmtId="9" fontId="20" fillId="6" borderId="1" xfId="2" applyFont="1" applyFill="1" applyBorder="1" applyAlignment="1" applyProtection="1">
      <alignment vertical="center"/>
      <protection locked="0"/>
    </xf>
    <xf numFmtId="9" fontId="20" fillId="6" borderId="19" xfId="2" applyFont="1" applyFill="1" applyBorder="1" applyAlignment="1" applyProtection="1">
      <alignment vertical="center"/>
      <protection locked="0"/>
    </xf>
    <xf numFmtId="167" fontId="0" fillId="0" borderId="0" xfId="2" applyNumberFormat="1" applyFont="1"/>
    <xf numFmtId="9" fontId="20" fillId="6" borderId="12" xfId="2" applyFont="1" applyFill="1" applyBorder="1" applyAlignment="1" applyProtection="1">
      <alignment vertical="center"/>
      <protection locked="0"/>
    </xf>
    <xf numFmtId="9" fontId="20" fillId="0" borderId="1" xfId="2" applyFont="1" applyFill="1" applyBorder="1" applyAlignment="1" applyProtection="1">
      <alignment vertical="center"/>
      <protection locked="0"/>
    </xf>
    <xf numFmtId="9" fontId="9" fillId="6" borderId="1" xfId="2" applyFont="1" applyFill="1" applyBorder="1" applyAlignment="1" applyProtection="1">
      <alignment vertical="center"/>
      <protection locked="0"/>
    </xf>
    <xf numFmtId="10" fontId="20" fillId="6" borderId="19" xfId="2" applyNumberFormat="1" applyFont="1" applyFill="1" applyBorder="1" applyAlignment="1" applyProtection="1">
      <alignment vertical="center"/>
      <protection locked="0"/>
    </xf>
    <xf numFmtId="9" fontId="9" fillId="6" borderId="19" xfId="2" applyFont="1" applyFill="1" applyBorder="1" applyAlignment="1" applyProtection="1">
      <alignment vertical="center"/>
      <protection locked="0"/>
    </xf>
    <xf numFmtId="9" fontId="9" fillId="6" borderId="12" xfId="2" applyFont="1" applyFill="1" applyBorder="1" applyAlignment="1" applyProtection="1">
      <alignment vertical="center"/>
      <protection locked="0"/>
    </xf>
    <xf numFmtId="165" fontId="9" fillId="6" borderId="1" xfId="0" applyNumberFormat="1" applyFont="1" applyFill="1" applyBorder="1" applyAlignment="1" applyProtection="1">
      <alignment vertical="center"/>
      <protection locked="0"/>
    </xf>
    <xf numFmtId="0" fontId="15" fillId="0" borderId="12" xfId="0" applyFont="1" applyBorder="1" applyAlignment="1">
      <alignment horizontal="center" vertical="center" wrapText="1"/>
    </xf>
    <xf numFmtId="0" fontId="9" fillId="0" borderId="1" xfId="0" applyFont="1" applyBorder="1" applyAlignment="1">
      <alignment horizontal="left" vertical="center" wrapText="1"/>
    </xf>
    <xf numFmtId="165" fontId="9" fillId="0" borderId="1" xfId="0" applyNumberFormat="1" applyFont="1" applyBorder="1" applyAlignment="1" applyProtection="1">
      <alignment vertical="center"/>
      <protection locked="0"/>
    </xf>
    <xf numFmtId="165" fontId="9" fillId="0" borderId="19" xfId="0" applyNumberFormat="1" applyFont="1" applyBorder="1" applyAlignment="1" applyProtection="1">
      <alignment vertical="center"/>
      <protection locked="0"/>
    </xf>
    <xf numFmtId="165" fontId="9" fillId="6" borderId="12" xfId="0" applyNumberFormat="1" applyFont="1" applyFill="1" applyBorder="1" applyAlignment="1" applyProtection="1">
      <alignment vertical="center"/>
      <protection locked="0"/>
    </xf>
    <xf numFmtId="165" fontId="9" fillId="6" borderId="19" xfId="0" applyNumberFormat="1" applyFont="1" applyFill="1" applyBorder="1" applyAlignment="1" applyProtection="1">
      <alignment vertical="center"/>
      <protection locked="0"/>
    </xf>
    <xf numFmtId="165" fontId="20" fillId="0" borderId="1" xfId="0" applyNumberFormat="1" applyFont="1" applyBorder="1" applyAlignment="1" applyProtection="1">
      <alignment vertical="center"/>
      <protection locked="0"/>
    </xf>
    <xf numFmtId="165" fontId="20" fillId="0" borderId="19" xfId="0" applyNumberFormat="1" applyFont="1" applyBorder="1" applyAlignment="1" applyProtection="1">
      <alignment vertical="center"/>
      <protection locked="0"/>
    </xf>
    <xf numFmtId="165" fontId="20" fillId="6" borderId="12" xfId="0" applyNumberFormat="1" applyFont="1" applyFill="1" applyBorder="1" applyAlignment="1" applyProtection="1">
      <alignment vertical="center"/>
      <protection locked="0"/>
    </xf>
    <xf numFmtId="165" fontId="20" fillId="6" borderId="1" xfId="0" applyNumberFormat="1" applyFont="1" applyFill="1" applyBorder="1" applyAlignment="1" applyProtection="1">
      <alignment vertical="center"/>
      <protection locked="0"/>
    </xf>
    <xf numFmtId="165" fontId="20" fillId="6" borderId="19" xfId="0" applyNumberFormat="1" applyFont="1" applyFill="1" applyBorder="1" applyAlignment="1" applyProtection="1">
      <alignment vertical="center"/>
      <protection locked="0"/>
    </xf>
    <xf numFmtId="0" fontId="9" fillId="6" borderId="24" xfId="0" applyFont="1" applyFill="1" applyBorder="1" applyAlignment="1">
      <alignment horizontal="right" vertical="center"/>
    </xf>
    <xf numFmtId="0" fontId="9" fillId="6" borderId="2" xfId="0" applyFont="1" applyFill="1" applyBorder="1" applyAlignment="1">
      <alignment vertical="center"/>
    </xf>
    <xf numFmtId="167" fontId="9" fillId="0" borderId="1" xfId="2" applyNumberFormat="1" applyFont="1" applyFill="1" applyBorder="1" applyAlignment="1" applyProtection="1">
      <alignment vertical="center"/>
      <protection locked="0"/>
    </xf>
    <xf numFmtId="9" fontId="9" fillId="0" borderId="19" xfId="2" applyFont="1" applyFill="1" applyBorder="1" applyAlignment="1" applyProtection="1">
      <alignment vertical="center"/>
      <protection locked="0"/>
    </xf>
    <xf numFmtId="165" fontId="20" fillId="0" borderId="2" xfId="0" applyNumberFormat="1" applyFont="1" applyBorder="1" applyAlignment="1" applyProtection="1">
      <alignment vertical="center"/>
      <protection locked="0"/>
    </xf>
    <xf numFmtId="165" fontId="20" fillId="0" borderId="25" xfId="0" applyNumberFormat="1" applyFont="1" applyBorder="1" applyAlignment="1" applyProtection="1">
      <alignment vertical="center"/>
      <protection locked="0"/>
    </xf>
    <xf numFmtId="165" fontId="20" fillId="6" borderId="24" xfId="0" applyNumberFormat="1" applyFont="1" applyFill="1" applyBorder="1" applyAlignment="1" applyProtection="1">
      <alignment vertical="center"/>
      <protection locked="0"/>
    </xf>
    <xf numFmtId="165" fontId="20" fillId="6" borderId="2" xfId="0" applyNumberFormat="1" applyFont="1" applyFill="1" applyBorder="1" applyAlignment="1" applyProtection="1">
      <alignment vertical="center"/>
      <protection locked="0"/>
    </xf>
    <xf numFmtId="165" fontId="20" fillId="6" borderId="25" xfId="0" applyNumberFormat="1" applyFont="1" applyFill="1" applyBorder="1" applyAlignment="1" applyProtection="1">
      <alignment vertical="center"/>
      <protection locked="0"/>
    </xf>
    <xf numFmtId="0" fontId="9" fillId="6" borderId="26" xfId="0" applyFont="1" applyFill="1" applyBorder="1" applyAlignment="1">
      <alignment horizontal="right" vertical="center"/>
    </xf>
    <xf numFmtId="165" fontId="9" fillId="6" borderId="27" xfId="0" applyNumberFormat="1" applyFont="1" applyFill="1" applyBorder="1" applyAlignment="1" applyProtection="1">
      <alignment vertical="center"/>
      <protection locked="0"/>
    </xf>
    <xf numFmtId="10" fontId="20" fillId="0" borderId="27" xfId="2" applyNumberFormat="1" applyFont="1" applyFill="1" applyBorder="1" applyAlignment="1" applyProtection="1">
      <alignment vertical="center"/>
      <protection locked="0"/>
    </xf>
    <xf numFmtId="9" fontId="20" fillId="0" borderId="27" xfId="2" applyFont="1" applyFill="1" applyBorder="1" applyAlignment="1" applyProtection="1">
      <alignment vertical="center"/>
      <protection locked="0"/>
    </xf>
    <xf numFmtId="9" fontId="20" fillId="0" borderId="28" xfId="2" applyFont="1" applyFill="1" applyBorder="1" applyAlignment="1" applyProtection="1">
      <alignment vertical="center"/>
      <protection locked="0"/>
    </xf>
    <xf numFmtId="9" fontId="20" fillId="6" borderId="26" xfId="2" applyFont="1" applyFill="1" applyBorder="1" applyAlignment="1" applyProtection="1">
      <alignment vertical="center"/>
      <protection locked="0"/>
    </xf>
    <xf numFmtId="9" fontId="20" fillId="6" borderId="27" xfId="2" applyFont="1" applyFill="1" applyBorder="1" applyAlignment="1" applyProtection="1">
      <alignment vertical="center"/>
      <protection locked="0"/>
    </xf>
    <xf numFmtId="9" fontId="20" fillId="6" borderId="28" xfId="2" applyFont="1" applyFill="1" applyBorder="1" applyAlignment="1" applyProtection="1">
      <alignment vertical="center"/>
      <protection locked="0"/>
    </xf>
    <xf numFmtId="0" fontId="9" fillId="0" borderId="0" xfId="0" applyFont="1" applyAlignment="1">
      <alignment horizontal="right"/>
    </xf>
    <xf numFmtId="10" fontId="21" fillId="0" borderId="0" xfId="0" applyNumberFormat="1" applyFont="1"/>
    <xf numFmtId="0" fontId="9" fillId="0" borderId="0" xfId="0" applyFont="1"/>
    <xf numFmtId="0" fontId="4" fillId="0" borderId="0" xfId="0" applyFont="1" applyAlignment="1">
      <alignment wrapText="1"/>
    </xf>
    <xf numFmtId="0" fontId="8" fillId="0" borderId="0" xfId="0" applyFont="1" applyAlignment="1">
      <alignment wrapText="1"/>
    </xf>
    <xf numFmtId="166" fontId="8" fillId="0" borderId="0" xfId="1" applyNumberFormat="1" applyFont="1"/>
    <xf numFmtId="166" fontId="4" fillId="0" borderId="0" xfId="1" applyNumberFormat="1" applyFont="1"/>
    <xf numFmtId="0" fontId="0" fillId="0" borderId="1" xfId="0" applyBorder="1" applyAlignment="1">
      <alignment horizontal="center" vertical="center"/>
    </xf>
    <xf numFmtId="166" fontId="9" fillId="0" borderId="1" xfId="1" applyNumberFormat="1"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xf>
    <xf numFmtId="0" fontId="23" fillId="2" borderId="1" xfId="7" applyFont="1" applyFill="1" applyBorder="1" applyAlignment="1">
      <alignment horizontal="left" vertical="center" wrapText="1"/>
    </xf>
    <xf numFmtId="166" fontId="4" fillId="0" borderId="1" xfId="1" applyNumberFormat="1" applyFont="1" applyBorder="1"/>
    <xf numFmtId="166" fontId="4" fillId="7" borderId="1" xfId="1" applyNumberFormat="1" applyFont="1" applyFill="1" applyBorder="1"/>
    <xf numFmtId="0" fontId="24" fillId="0" borderId="1" xfId="7" applyFont="1" applyBorder="1" applyAlignment="1">
      <alignment horizontal="left" vertical="center" wrapText="1" indent="1"/>
    </xf>
    <xf numFmtId="166" fontId="4" fillId="0" borderId="1" xfId="1" applyNumberFormat="1" applyFont="1" applyFill="1" applyBorder="1"/>
    <xf numFmtId="0" fontId="25" fillId="2" borderId="1" xfId="7" applyFont="1" applyFill="1" applyBorder="1" applyAlignment="1">
      <alignment horizontal="left" vertical="center" wrapText="1"/>
    </xf>
    <xf numFmtId="0" fontId="24" fillId="2" borderId="1" xfId="7" applyFont="1" applyFill="1" applyBorder="1" applyAlignment="1">
      <alignment horizontal="left" vertical="center" wrapText="1" indent="1"/>
    </xf>
    <xf numFmtId="0" fontId="23" fillId="0" borderId="31" xfId="0" applyFont="1" applyBorder="1" applyAlignment="1">
      <alignment horizontal="left" vertical="center" wrapText="1"/>
    </xf>
    <xf numFmtId="0" fontId="25" fillId="0" borderId="31" xfId="0" applyFont="1" applyBorder="1" applyAlignment="1">
      <alignment horizontal="left" vertical="center" wrapText="1"/>
    </xf>
    <xf numFmtId="166" fontId="4" fillId="0" borderId="1" xfId="1" applyNumberFormat="1" applyFont="1" applyBorder="1" applyAlignment="1">
      <alignment vertical="center"/>
    </xf>
    <xf numFmtId="166" fontId="4" fillId="7" borderId="1" xfId="1" applyNumberFormat="1" applyFont="1" applyFill="1" applyBorder="1" applyAlignment="1">
      <alignment vertical="center"/>
    </xf>
    <xf numFmtId="0" fontId="26" fillId="2" borderId="31" xfId="0" applyFont="1" applyFill="1" applyBorder="1" applyAlignment="1">
      <alignment horizontal="left" vertical="center" wrapText="1" indent="1"/>
    </xf>
    <xf numFmtId="0" fontId="25" fillId="2" borderId="31"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26" fillId="0" borderId="31" xfId="0" applyFont="1" applyBorder="1" applyAlignment="1">
      <alignment horizontal="left" vertical="center" wrapText="1" indent="1"/>
    </xf>
    <xf numFmtId="0" fontId="26" fillId="0" borderId="1" xfId="7" applyFont="1" applyBorder="1" applyAlignment="1">
      <alignment horizontal="left" vertical="center" wrapText="1" indent="1"/>
    </xf>
    <xf numFmtId="0" fontId="25" fillId="0" borderId="1" xfId="7" applyFont="1" applyBorder="1" applyAlignment="1">
      <alignment horizontal="left" vertical="center" wrapText="1"/>
    </xf>
    <xf numFmtId="166" fontId="0" fillId="0" borderId="0" xfId="0" applyNumberFormat="1"/>
    <xf numFmtId="0" fontId="27" fillId="0" borderId="1" xfId="7" applyFont="1" applyBorder="1" applyAlignment="1">
      <alignment horizontal="center" vertical="center" wrapText="1"/>
    </xf>
    <xf numFmtId="0" fontId="25" fillId="2" borderId="33" xfId="0" applyFont="1" applyFill="1" applyBorder="1" applyAlignment="1">
      <alignment horizontal="left" vertical="center" wrapText="1"/>
    </xf>
    <xf numFmtId="43" fontId="0" fillId="0" borderId="0" xfId="0" applyNumberFormat="1"/>
    <xf numFmtId="0" fontId="24" fillId="2" borderId="31" xfId="0" applyFont="1" applyFill="1" applyBorder="1" applyAlignment="1">
      <alignment horizontal="left" vertical="center" wrapText="1" indent="1"/>
    </xf>
    <xf numFmtId="0" fontId="24" fillId="0" borderId="31" xfId="0" applyFont="1" applyBorder="1" applyAlignment="1">
      <alignment horizontal="left" vertical="center" wrapText="1" indent="1"/>
    </xf>
    <xf numFmtId="0" fontId="24" fillId="0" borderId="32" xfId="0" applyFont="1" applyBorder="1" applyAlignment="1">
      <alignment horizontal="left" vertical="center" wrapText="1" indent="1"/>
    </xf>
    <xf numFmtId="0" fontId="28" fillId="0" borderId="1" xfId="0" applyFont="1" applyBorder="1" applyAlignment="1">
      <alignment horizontal="left"/>
    </xf>
    <xf numFmtId="0" fontId="25" fillId="0" borderId="1" xfId="0" applyFont="1" applyBorder="1" applyAlignment="1">
      <alignment horizontal="left" vertical="center" wrapText="1"/>
    </xf>
    <xf numFmtId="0" fontId="0" fillId="0" borderId="0" xfId="0" applyAlignment="1">
      <alignment horizontal="center"/>
    </xf>
    <xf numFmtId="0" fontId="0" fillId="0" borderId="0" xfId="0" applyAlignment="1">
      <alignment horizontal="left" vertical="center"/>
    </xf>
    <xf numFmtId="0" fontId="9" fillId="0" borderId="1" xfId="0" applyFont="1" applyBorder="1" applyAlignment="1">
      <alignment horizontal="center" vertical="center" wrapText="1"/>
    </xf>
    <xf numFmtId="0" fontId="25" fillId="0" borderId="36" xfId="0" applyFont="1" applyBorder="1" applyAlignment="1">
      <alignment horizontal="justify" vertical="center" wrapText="1"/>
    </xf>
    <xf numFmtId="43" fontId="0" fillId="0" borderId="1" xfId="1" applyFont="1" applyBorder="1"/>
    <xf numFmtId="43" fontId="0" fillId="7" borderId="1" xfId="1" applyFont="1" applyFill="1" applyBorder="1"/>
    <xf numFmtId="0" fontId="24" fillId="0" borderId="33" xfId="0" applyFont="1" applyBorder="1" applyAlignment="1">
      <alignment horizontal="left" vertical="center" wrapText="1" indent="1"/>
    </xf>
    <xf numFmtId="0" fontId="25" fillId="0" borderId="31" xfId="0" applyFont="1" applyBorder="1" applyAlignment="1">
      <alignment horizontal="justify" vertical="center" wrapText="1"/>
    </xf>
    <xf numFmtId="0" fontId="23" fillId="0" borderId="31" xfId="0" applyFont="1" applyBorder="1" applyAlignment="1">
      <alignment horizontal="justify" vertical="center" wrapText="1"/>
    </xf>
    <xf numFmtId="0" fontId="25" fillId="2" borderId="31" xfId="0" applyFont="1" applyFill="1" applyBorder="1" applyAlignment="1">
      <alignment horizontal="justify" vertical="center" wrapText="1"/>
    </xf>
    <xf numFmtId="166" fontId="0" fillId="0" borderId="1" xfId="1" applyNumberFormat="1" applyFont="1" applyFill="1" applyBorder="1"/>
    <xf numFmtId="166" fontId="0" fillId="0" borderId="1" xfId="1" applyNumberFormat="1" applyFont="1" applyBorder="1"/>
    <xf numFmtId="0" fontId="25" fillId="0" borderId="32" xfId="0" applyFont="1" applyBorder="1" applyAlignment="1">
      <alignment horizontal="justify" vertical="center" wrapText="1"/>
    </xf>
    <xf numFmtId="0" fontId="25" fillId="0" borderId="33" xfId="0" applyFont="1" applyBorder="1" applyAlignment="1">
      <alignment horizontal="justify" vertical="center" wrapText="1"/>
    </xf>
    <xf numFmtId="166" fontId="0" fillId="7" borderId="1" xfId="1" applyNumberFormat="1" applyFont="1" applyFill="1" applyBorder="1"/>
    <xf numFmtId="0" fontId="25" fillId="0" borderId="1" xfId="7" applyFont="1" applyBorder="1" applyAlignment="1">
      <alignment horizontal="justify" vertical="center" wrapText="1"/>
    </xf>
    <xf numFmtId="0" fontId="26" fillId="0" borderId="37" xfId="0" applyFont="1" applyBorder="1" applyAlignment="1">
      <alignment horizontal="left" vertical="center" wrapText="1" indent="1"/>
    </xf>
    <xf numFmtId="0" fontId="23" fillId="0" borderId="31" xfId="0" applyFont="1" applyBorder="1" applyAlignment="1">
      <alignment vertical="center" wrapText="1"/>
    </xf>
    <xf numFmtId="168" fontId="0" fillId="0" borderId="1" xfId="1" applyNumberFormat="1" applyFont="1" applyBorder="1"/>
    <xf numFmtId="168" fontId="0" fillId="0" borderId="1" xfId="1" applyNumberFormat="1" applyFont="1" applyFill="1" applyBorder="1"/>
    <xf numFmtId="0" fontId="25" fillId="0" borderId="31" xfId="0" applyFont="1" applyBorder="1" applyAlignment="1">
      <alignment vertical="center" wrapText="1"/>
    </xf>
    <xf numFmtId="0" fontId="25" fillId="0" borderId="1" xfId="7" applyFont="1" applyBorder="1" applyAlignment="1">
      <alignment vertical="center" wrapText="1"/>
    </xf>
    <xf numFmtId="0" fontId="14" fillId="0" borderId="11" xfId="0" applyFont="1" applyBorder="1" applyAlignment="1">
      <alignment horizontal="center"/>
    </xf>
    <xf numFmtId="0" fontId="9" fillId="0" borderId="19" xfId="0" applyFont="1" applyBorder="1" applyAlignment="1">
      <alignment horizontal="center" vertical="center" wrapText="1"/>
    </xf>
    <xf numFmtId="0" fontId="15" fillId="0" borderId="1" xfId="0" applyFont="1" applyBorder="1" applyAlignment="1">
      <alignment vertical="center" wrapText="1"/>
    </xf>
    <xf numFmtId="165" fontId="9" fillId="0" borderId="1" xfId="0" applyNumberFormat="1" applyFont="1" applyBorder="1" applyAlignment="1">
      <alignment horizontal="right"/>
    </xf>
    <xf numFmtId="165" fontId="9" fillId="7" borderId="1" xfId="0" applyNumberFormat="1" applyFont="1" applyFill="1" applyBorder="1" applyAlignment="1">
      <alignment horizontal="right"/>
    </xf>
    <xf numFmtId="165" fontId="9" fillId="7" borderId="19" xfId="0" applyNumberFormat="1" applyFont="1" applyFill="1" applyBorder="1" applyAlignment="1">
      <alignment horizontal="right"/>
    </xf>
    <xf numFmtId="0" fontId="8" fillId="0" borderId="1" xfId="0" applyFont="1" applyBorder="1" applyAlignment="1">
      <alignment horizontal="left" vertical="center" wrapText="1" indent="1"/>
    </xf>
    <xf numFmtId="0" fontId="3" fillId="0" borderId="1" xfId="0" applyFont="1" applyBorder="1" applyAlignment="1">
      <alignment vertical="center"/>
    </xf>
    <xf numFmtId="0" fontId="29" fillId="0" borderId="1" xfId="0" applyFont="1" applyBorder="1" applyAlignment="1" applyProtection="1">
      <alignment horizontal="left" vertical="center" indent="1"/>
      <protection locked="0"/>
    </xf>
    <xf numFmtId="0" fontId="30" fillId="0" borderId="1" xfId="0" applyFont="1" applyBorder="1" applyAlignment="1" applyProtection="1">
      <alignment horizontal="left" vertical="center" indent="3"/>
      <protection locked="0"/>
    </xf>
    <xf numFmtId="0" fontId="31" fillId="0" borderId="1" xfId="0" applyFont="1" applyBorder="1" applyAlignment="1" applyProtection="1">
      <alignment horizontal="left" vertical="center" indent="3"/>
      <protection locked="0"/>
    </xf>
    <xf numFmtId="165" fontId="0" fillId="0" borderId="0" xfId="0" applyNumberFormat="1"/>
    <xf numFmtId="0" fontId="3" fillId="0" borderId="1" xfId="0" applyFont="1" applyBorder="1"/>
    <xf numFmtId="165" fontId="9" fillId="0" borderId="0" xfId="0" applyNumberFormat="1" applyFont="1" applyAlignment="1">
      <alignment horizontal="right"/>
    </xf>
    <xf numFmtId="0" fontId="32" fillId="0" borderId="0" xfId="0" applyFont="1"/>
    <xf numFmtId="0" fontId="4" fillId="0" borderId="5" xfId="0" applyFont="1" applyBorder="1"/>
    <xf numFmtId="0" fontId="33" fillId="0" borderId="5" xfId="0" applyFont="1" applyBorder="1" applyAlignment="1">
      <alignment horizontal="center"/>
    </xf>
    <xf numFmtId="0" fontId="34" fillId="0" borderId="5" xfId="0" applyFont="1" applyBorder="1" applyAlignment="1">
      <alignment horizontal="center"/>
    </xf>
    <xf numFmtId="0" fontId="4" fillId="0" borderId="38" xfId="0" applyFont="1" applyBorder="1" applyAlignment="1">
      <alignment vertical="center" wrapText="1"/>
    </xf>
    <xf numFmtId="0" fontId="33" fillId="0" borderId="29" xfId="0" applyFont="1" applyBorder="1" applyAlignment="1">
      <alignment vertical="center" wrapText="1"/>
    </xf>
    <xf numFmtId="0" fontId="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4" fillId="0" borderId="1" xfId="0" applyFont="1" applyBorder="1" applyAlignment="1">
      <alignment vertical="center" wrapText="1"/>
    </xf>
    <xf numFmtId="3" fontId="36" fillId="7" borderId="1" xfId="0" applyNumberFormat="1" applyFont="1" applyFill="1" applyBorder="1" applyAlignment="1">
      <alignment vertical="center" wrapText="1"/>
    </xf>
    <xf numFmtId="3" fontId="36" fillId="7" borderId="22" xfId="0" applyNumberFormat="1" applyFont="1" applyFill="1" applyBorder="1" applyAlignment="1">
      <alignment vertical="center" wrapText="1"/>
    </xf>
    <xf numFmtId="14" fontId="8" fillId="2" borderId="1" xfId="8" quotePrefix="1" applyNumberFormat="1" applyFont="1" applyFill="1" applyBorder="1" applyAlignment="1" applyProtection="1">
      <alignment horizontal="left" vertical="center" wrapText="1" indent="2"/>
      <protection locked="0"/>
    </xf>
    <xf numFmtId="3" fontId="36" fillId="0" borderId="1" xfId="0" applyNumberFormat="1" applyFont="1" applyBorder="1" applyAlignment="1">
      <alignment vertical="center" wrapText="1"/>
    </xf>
    <xf numFmtId="3" fontId="36" fillId="0" borderId="22" xfId="0" applyNumberFormat="1" applyFont="1" applyBorder="1" applyAlignment="1">
      <alignment vertical="center" wrapText="1"/>
    </xf>
    <xf numFmtId="14" fontId="8" fillId="2" borderId="1" xfId="8" quotePrefix="1" applyNumberFormat="1" applyFont="1" applyFill="1" applyBorder="1" applyAlignment="1" applyProtection="1">
      <alignment horizontal="left" vertical="center" wrapText="1" indent="3"/>
      <protection locked="0"/>
    </xf>
    <xf numFmtId="0" fontId="4" fillId="0" borderId="1" xfId="0" applyFont="1" applyBorder="1" applyAlignment="1">
      <alignment horizontal="left" vertical="center" wrapText="1" indent="2"/>
    </xf>
    <xf numFmtId="0" fontId="35" fillId="0" borderId="26" xfId="0" applyFont="1" applyBorder="1" applyAlignment="1">
      <alignment horizontal="center" vertical="center" wrapText="1"/>
    </xf>
    <xf numFmtId="0" fontId="33" fillId="0" borderId="27" xfId="0" applyFont="1" applyBorder="1" applyAlignment="1">
      <alignment vertical="center" wrapText="1"/>
    </xf>
    <xf numFmtId="3" fontId="36" fillId="7" borderId="27" xfId="0" applyNumberFormat="1" applyFont="1" applyFill="1" applyBorder="1" applyAlignment="1">
      <alignment vertical="center" wrapText="1"/>
    </xf>
    <xf numFmtId="3" fontId="36" fillId="7" borderId="40" xfId="0" applyNumberFormat="1" applyFont="1" applyFill="1" applyBorder="1" applyAlignment="1">
      <alignment vertical="center" wrapText="1"/>
    </xf>
    <xf numFmtId="0" fontId="9" fillId="0" borderId="0" xfId="0" applyFont="1" applyAlignment="1">
      <alignment horizontal="left" wrapText="1"/>
    </xf>
    <xf numFmtId="0" fontId="9" fillId="0" borderId="9" xfId="0" applyFont="1" applyBorder="1"/>
    <xf numFmtId="0" fontId="14" fillId="0" borderId="41" xfId="0" applyFont="1" applyBorder="1" applyAlignment="1">
      <alignment horizontal="center" wrapText="1"/>
    </xf>
    <xf numFmtId="0" fontId="9" fillId="0" borderId="12" xfId="0" applyFont="1" applyBorder="1" applyAlignment="1">
      <alignment vertical="center"/>
    </xf>
    <xf numFmtId="0" fontId="39" fillId="0" borderId="20" xfId="0" applyFont="1" applyBorder="1" applyAlignment="1">
      <alignment wrapText="1"/>
    </xf>
    <xf numFmtId="0" fontId="4" fillId="0" borderId="19" xfId="0" applyFont="1" applyBorder="1"/>
    <xf numFmtId="0" fontId="14" fillId="0" borderId="20"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20" xfId="0" applyFont="1" applyBorder="1" applyAlignment="1">
      <alignment wrapText="1"/>
    </xf>
    <xf numFmtId="0" fontId="9" fillId="0" borderId="19" xfId="0" applyFont="1" applyBorder="1" applyAlignment="1">
      <alignment wrapText="1"/>
    </xf>
    <xf numFmtId="0" fontId="9" fillId="0" borderId="20" xfId="0" applyFont="1" applyBorder="1" applyAlignment="1">
      <alignment vertical="top" wrapText="1"/>
    </xf>
    <xf numFmtId="0" fontId="9" fillId="0" borderId="22" xfId="0" applyFont="1" applyBorder="1" applyAlignment="1">
      <alignment wrapText="1"/>
    </xf>
    <xf numFmtId="167" fontId="4" fillId="0" borderId="22" xfId="2" applyNumberFormat="1" applyFont="1" applyBorder="1" applyAlignment="1">
      <alignment horizontal="center"/>
    </xf>
    <xf numFmtId="0" fontId="4" fillId="0" borderId="22" xfId="0" applyFont="1" applyBorder="1"/>
    <xf numFmtId="167" fontId="4" fillId="0" borderId="19" xfId="2" applyNumberFormat="1" applyFont="1" applyBorder="1"/>
    <xf numFmtId="0" fontId="9" fillId="0" borderId="24" xfId="0" applyFont="1" applyBorder="1" applyAlignment="1">
      <alignment vertical="center"/>
    </xf>
    <xf numFmtId="0" fontId="39" fillId="0" borderId="3" xfId="0" applyFont="1" applyBorder="1" applyAlignment="1">
      <alignment wrapText="1"/>
    </xf>
    <xf numFmtId="167" fontId="4" fillId="0" borderId="25" xfId="2" applyNumberFormat="1" applyFont="1" applyBorder="1"/>
    <xf numFmtId="0" fontId="9" fillId="0" borderId="24" xfId="0" applyFont="1" applyBorder="1" applyAlignment="1">
      <alignment horizontal="right" vertical="center"/>
    </xf>
    <xf numFmtId="0" fontId="9" fillId="0" borderId="26" xfId="0" applyFont="1" applyBorder="1"/>
    <xf numFmtId="0" fontId="39" fillId="0" borderId="39" xfId="0" applyFont="1" applyBorder="1" applyAlignment="1">
      <alignment wrapText="1"/>
    </xf>
    <xf numFmtId="0" fontId="4" fillId="0" borderId="28" xfId="0" applyFont="1" applyBorder="1"/>
    <xf numFmtId="0" fontId="2" fillId="0" borderId="0" xfId="0" applyFont="1"/>
    <xf numFmtId="0" fontId="40" fillId="0" borderId="0" xfId="5" applyFont="1"/>
    <xf numFmtId="0" fontId="9" fillId="0" borderId="5" xfId="5" applyFont="1" applyBorder="1"/>
    <xf numFmtId="0" fontId="15" fillId="0" borderId="5" xfId="5" applyFont="1" applyBorder="1" applyAlignment="1">
      <alignment horizontal="left" vertical="center"/>
    </xf>
    <xf numFmtId="0" fontId="9" fillId="0" borderId="0" xfId="5" applyFont="1" applyAlignment="1">
      <alignment horizontal="left"/>
    </xf>
    <xf numFmtId="0" fontId="34" fillId="0" borderId="0" xfId="5" applyFont="1" applyAlignment="1">
      <alignment horizontal="right"/>
    </xf>
    <xf numFmtId="0" fontId="8" fillId="0" borderId="9" xfId="5" applyFont="1" applyBorder="1" applyAlignment="1">
      <alignment vertical="center"/>
    </xf>
    <xf numFmtId="0" fontId="8" fillId="0" borderId="10" xfId="5" applyFont="1" applyBorder="1" applyAlignment="1">
      <alignment vertical="center"/>
    </xf>
    <xf numFmtId="0" fontId="15" fillId="0" borderId="10" xfId="5" applyFont="1" applyBorder="1" applyAlignment="1">
      <alignment horizontal="center" vertical="center"/>
    </xf>
    <xf numFmtId="0" fontId="15" fillId="0" borderId="11" xfId="5" applyFont="1" applyBorder="1" applyAlignment="1">
      <alignment horizontal="center" vertical="center"/>
    </xf>
    <xf numFmtId="0" fontId="21" fillId="0" borderId="0" xfId="5" applyFont="1" applyAlignment="1">
      <alignment vertical="center"/>
    </xf>
    <xf numFmtId="0" fontId="8" fillId="0" borderId="0" xfId="5" applyFont="1" applyAlignment="1">
      <alignment vertical="center"/>
    </xf>
    <xf numFmtId="0" fontId="0" fillId="0" borderId="12" xfId="0" applyBorder="1"/>
    <xf numFmtId="0" fontId="4" fillId="0" borderId="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42" xfId="0" applyFont="1" applyBorder="1" applyAlignment="1">
      <alignment horizontal="center" vertical="center" wrapText="1"/>
    </xf>
    <xf numFmtId="43" fontId="4" fillId="0" borderId="1" xfId="1" applyFont="1" applyFill="1" applyBorder="1" applyAlignment="1">
      <alignment vertical="center" wrapText="1"/>
    </xf>
    <xf numFmtId="43" fontId="2" fillId="0" borderId="0" xfId="0" applyNumberFormat="1" applyFont="1"/>
    <xf numFmtId="43" fontId="4" fillId="0" borderId="1" xfId="1" applyFont="1" applyBorder="1" applyAlignment="1">
      <alignment vertical="center"/>
    </xf>
    <xf numFmtId="0" fontId="0" fillId="0" borderId="26" xfId="0" applyBorder="1"/>
    <xf numFmtId="0" fontId="33" fillId="7" borderId="43" xfId="0" applyFont="1" applyFill="1" applyBorder="1" applyAlignment="1">
      <alignment vertical="center" wrapText="1"/>
    </xf>
    <xf numFmtId="169" fontId="33" fillId="7" borderId="27" xfId="0" applyNumberFormat="1" applyFont="1" applyFill="1" applyBorder="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15" fillId="0" borderId="0" xfId="5" applyFont="1" applyAlignment="1">
      <alignment horizontal="center" vertical="center" wrapText="1"/>
    </xf>
    <xf numFmtId="0" fontId="0" fillId="0" borderId="9" xfId="0" applyBorder="1" applyAlignment="1">
      <alignment horizontal="center" vertical="center"/>
    </xf>
    <xf numFmtId="0" fontId="33" fillId="7" borderId="44" xfId="0" applyFont="1" applyFill="1" applyBorder="1" applyAlignment="1">
      <alignment wrapText="1"/>
    </xf>
    <xf numFmtId="165" fontId="0" fillId="7" borderId="11" xfId="0" applyNumberFormat="1" applyFill="1" applyBorder="1" applyAlignment="1">
      <alignment horizontal="center" vertical="center"/>
    </xf>
    <xf numFmtId="0" fontId="4" fillId="0" borderId="12" xfId="0" applyFont="1" applyBorder="1" applyAlignment="1">
      <alignment horizontal="center" vertical="center"/>
    </xf>
    <xf numFmtId="0" fontId="4" fillId="0" borderId="21" xfId="0" applyFont="1" applyBorder="1"/>
    <xf numFmtId="165" fontId="0" fillId="0" borderId="19" xfId="0" applyNumberFormat="1" applyBorder="1"/>
    <xf numFmtId="0" fontId="4" fillId="0" borderId="12" xfId="0" applyFont="1" applyBorder="1" applyAlignment="1">
      <alignment horizontal="center" vertical="center" wrapText="1"/>
    </xf>
    <xf numFmtId="0" fontId="4" fillId="0" borderId="21" xfId="0" applyFont="1" applyBorder="1" applyAlignment="1">
      <alignment vertical="center" wrapText="1"/>
    </xf>
    <xf numFmtId="165" fontId="0" fillId="0" borderId="19" xfId="0" applyNumberFormat="1" applyBorder="1" applyAlignment="1">
      <alignment wrapText="1"/>
    </xf>
    <xf numFmtId="0" fontId="0" fillId="0" borderId="0" xfId="0" applyAlignment="1">
      <alignment wrapText="1"/>
    </xf>
    <xf numFmtId="0" fontId="33" fillId="7" borderId="21" xfId="0" applyFont="1" applyFill="1" applyBorder="1" applyAlignment="1">
      <alignment wrapText="1"/>
    </xf>
    <xf numFmtId="165" fontId="0" fillId="7" borderId="19" xfId="0" applyNumberFormat="1" applyFill="1" applyBorder="1" applyAlignment="1">
      <alignment horizontal="center" vertical="center" wrapText="1"/>
    </xf>
    <xf numFmtId="0" fontId="4" fillId="0" borderId="21" xfId="0" applyFont="1" applyBorder="1" applyAlignment="1">
      <alignment vertical="center"/>
    </xf>
    <xf numFmtId="0" fontId="4" fillId="0" borderId="21" xfId="0" applyFont="1" applyBorder="1" applyAlignment="1">
      <alignment wrapText="1"/>
    </xf>
    <xf numFmtId="0" fontId="4" fillId="0" borderId="26" xfId="0" applyFont="1" applyBorder="1" applyAlignment="1">
      <alignment horizontal="center" vertical="center" wrapText="1"/>
    </xf>
    <xf numFmtId="0" fontId="33" fillId="7" borderId="45" xfId="0" applyFont="1" applyFill="1" applyBorder="1" applyAlignment="1">
      <alignment wrapText="1"/>
    </xf>
    <xf numFmtId="165" fontId="0" fillId="7" borderId="28" xfId="0" applyNumberFormat="1" applyFill="1" applyBorder="1" applyAlignment="1">
      <alignment horizontal="center" vertical="center" wrapText="1"/>
    </xf>
    <xf numFmtId="3" fontId="0" fillId="0" borderId="0" xfId="0" applyNumberFormat="1"/>
    <xf numFmtId="0" fontId="4" fillId="0" borderId="0" xfId="0" applyFont="1" applyAlignment="1">
      <alignment horizontal="center" vertical="center"/>
    </xf>
    <xf numFmtId="0" fontId="7" fillId="0" borderId="0" xfId="0" applyFont="1" applyAlignment="1">
      <alignment horizontal="center" vertical="center"/>
    </xf>
    <xf numFmtId="0" fontId="33" fillId="0" borderId="0" xfId="0" applyFont="1" applyAlignment="1">
      <alignment horizontal="center"/>
    </xf>
    <xf numFmtId="0" fontId="8" fillId="0" borderId="9" xfId="9" applyFont="1" applyBorder="1" applyAlignment="1" applyProtection="1">
      <alignment horizontal="center" vertical="center"/>
      <protection locked="0"/>
    </xf>
    <xf numFmtId="0" fontId="15" fillId="2" borderId="46" xfId="9" applyFont="1" applyFill="1" applyBorder="1" applyAlignment="1" applyProtection="1">
      <alignment horizontal="center" vertical="center" wrapText="1"/>
      <protection locked="0"/>
    </xf>
    <xf numFmtId="166" fontId="8" fillId="2" borderId="11" xfId="10" applyNumberFormat="1" applyFont="1" applyFill="1" applyBorder="1" applyAlignment="1" applyProtection="1">
      <alignment horizontal="center" vertical="center"/>
      <protection locked="0"/>
    </xf>
    <xf numFmtId="0" fontId="8" fillId="0" borderId="12" xfId="9" applyFont="1" applyBorder="1" applyAlignment="1" applyProtection="1">
      <alignment horizontal="center" vertical="center"/>
      <protection locked="0"/>
    </xf>
    <xf numFmtId="0" fontId="33" fillId="7" borderId="1" xfId="0" applyFont="1" applyFill="1" applyBorder="1" applyAlignment="1">
      <alignment horizontal="left" vertical="top" wrapText="1"/>
    </xf>
    <xf numFmtId="165" fontId="8" fillId="7" borderId="19" xfId="10" applyNumberFormat="1" applyFont="1" applyFill="1" applyBorder="1" applyAlignment="1" applyProtection="1">
      <alignment vertical="top"/>
    </xf>
    <xf numFmtId="0" fontId="8" fillId="2" borderId="29" xfId="11" applyFont="1" applyFill="1" applyBorder="1" applyAlignment="1" applyProtection="1">
      <alignment vertical="center" wrapText="1"/>
      <protection locked="0"/>
    </xf>
    <xf numFmtId="165" fontId="8" fillId="2" borderId="19" xfId="10" applyNumberFormat="1" applyFont="1" applyFill="1" applyBorder="1" applyAlignment="1" applyProtection="1">
      <alignment vertical="top"/>
      <protection locked="0"/>
    </xf>
    <xf numFmtId="0" fontId="8" fillId="2" borderId="1" xfId="11" applyFont="1" applyFill="1" applyBorder="1" applyAlignment="1" applyProtection="1">
      <alignment vertical="center" wrapText="1"/>
      <protection locked="0"/>
    </xf>
    <xf numFmtId="0" fontId="8" fillId="2" borderId="2" xfId="11" applyFont="1" applyFill="1" applyBorder="1" applyAlignment="1" applyProtection="1">
      <alignment vertical="center" wrapText="1"/>
      <protection locked="0"/>
    </xf>
    <xf numFmtId="165" fontId="8" fillId="7" borderId="19" xfId="10" applyNumberFormat="1" applyFont="1" applyFill="1" applyBorder="1" applyAlignment="1" applyProtection="1">
      <alignment vertical="top" wrapText="1"/>
    </xf>
    <xf numFmtId="0" fontId="8" fillId="2" borderId="29" xfId="11" applyFont="1" applyFill="1" applyBorder="1" applyAlignment="1" applyProtection="1">
      <alignment horizontal="left" vertical="center" wrapText="1"/>
      <protection locked="0"/>
    </xf>
    <xf numFmtId="165" fontId="8" fillId="2" borderId="19"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protection locked="0"/>
    </xf>
    <xf numFmtId="0" fontId="8" fillId="2" borderId="1" xfId="9" applyFont="1" applyFill="1" applyBorder="1" applyAlignment="1" applyProtection="1">
      <alignment horizontal="left" vertical="center" wrapText="1"/>
      <protection locked="0"/>
    </xf>
    <xf numFmtId="0" fontId="8" fillId="0" borderId="1" xfId="11" applyFont="1" applyBorder="1" applyAlignment="1" applyProtection="1">
      <alignment horizontal="left" vertical="center" wrapText="1"/>
      <protection locked="0"/>
    </xf>
    <xf numFmtId="0" fontId="8" fillId="0" borderId="0" xfId="11" applyFont="1" applyAlignment="1" applyProtection="1">
      <alignment wrapText="1"/>
      <protection locked="0"/>
    </xf>
    <xf numFmtId="0" fontId="8" fillId="0" borderId="1" xfId="11" applyFont="1" applyBorder="1" applyAlignment="1" applyProtection="1">
      <alignment wrapText="1"/>
      <protection locked="0"/>
    </xf>
    <xf numFmtId="1" fontId="15" fillId="7" borderId="1" xfId="10" applyNumberFormat="1" applyFont="1" applyFill="1" applyBorder="1" applyAlignment="1" applyProtection="1">
      <alignment horizontal="left" vertical="top" wrapText="1"/>
    </xf>
    <xf numFmtId="166" fontId="0" fillId="0" borderId="0" xfId="1" applyNumberFormat="1" applyFont="1" applyAlignment="1">
      <alignment wrapText="1"/>
    </xf>
    <xf numFmtId="0" fontId="8" fillId="0" borderId="12" xfId="9" applyFont="1" applyBorder="1" applyAlignment="1" applyProtection="1">
      <alignment horizontal="center" vertical="center" wrapText="1"/>
      <protection locked="0"/>
    </xf>
    <xf numFmtId="0" fontId="15" fillId="2" borderId="1" xfId="11" applyFont="1" applyFill="1" applyBorder="1" applyAlignment="1" applyProtection="1">
      <alignment vertical="center" wrapText="1"/>
      <protection locked="0"/>
    </xf>
    <xf numFmtId="165" fontId="8" fillId="7" borderId="19"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indent="3"/>
      <protection locked="0"/>
    </xf>
    <xf numFmtId="0" fontId="15" fillId="7" borderId="1" xfId="11" applyFont="1" applyFill="1" applyBorder="1" applyAlignment="1" applyProtection="1">
      <alignment vertical="center" wrapText="1"/>
      <protection locked="0"/>
    </xf>
    <xf numFmtId="0" fontId="15" fillId="7" borderId="27" xfId="11" applyFont="1" applyFill="1" applyBorder="1" applyAlignment="1" applyProtection="1">
      <alignment vertical="center" wrapText="1"/>
      <protection locked="0"/>
    </xf>
    <xf numFmtId="165" fontId="8" fillId="7" borderId="28" xfId="10" applyNumberFormat="1" applyFont="1" applyFill="1" applyBorder="1" applyAlignment="1" applyProtection="1">
      <alignment vertical="top" wrapText="1"/>
    </xf>
    <xf numFmtId="0" fontId="33" fillId="0" borderId="0" xfId="12" applyFont="1" applyAlignment="1" applyProtection="1">
      <alignment horizontal="left" vertical="center"/>
      <protection locked="0"/>
    </xf>
    <xf numFmtId="0" fontId="33" fillId="7" borderId="10" xfId="0" applyFont="1" applyFill="1" applyBorder="1" applyAlignment="1">
      <alignment horizontal="center" vertical="center" wrapText="1"/>
    </xf>
    <xf numFmtId="0" fontId="33" fillId="7" borderId="11" xfId="0" applyFont="1" applyFill="1" applyBorder="1" applyAlignment="1">
      <alignment horizontal="center" vertical="center" wrapText="1"/>
    </xf>
    <xf numFmtId="0" fontId="33" fillId="7" borderId="12" xfId="0" applyFont="1" applyFill="1" applyBorder="1" applyAlignment="1">
      <alignment horizontal="left" vertical="center" wrapText="1"/>
    </xf>
    <xf numFmtId="0" fontId="33" fillId="7" borderId="1" xfId="0" applyFont="1" applyFill="1" applyBorder="1" applyAlignment="1">
      <alignment horizontal="left" vertical="center" wrapText="1"/>
    </xf>
    <xf numFmtId="0" fontId="33" fillId="7" borderId="19" xfId="0" applyFont="1" applyFill="1" applyBorder="1" applyAlignment="1">
      <alignment horizontal="left" vertical="center" wrapText="1"/>
    </xf>
    <xf numFmtId="0" fontId="4" fillId="0" borderId="0" xfId="0" applyFont="1" applyAlignment="1">
      <alignment horizontal="left" vertical="center"/>
    </xf>
    <xf numFmtId="0" fontId="4" fillId="0" borderId="12" xfId="0" applyFont="1" applyBorder="1" applyAlignment="1">
      <alignment horizontal="right" vertical="center" wrapText="1"/>
    </xf>
    <xf numFmtId="0" fontId="4" fillId="0" borderId="1" xfId="0" applyFont="1" applyBorder="1" applyAlignment="1">
      <alignment horizontal="left" vertical="center" wrapText="1"/>
    </xf>
    <xf numFmtId="10" fontId="8" fillId="0" borderId="1" xfId="2" applyNumberFormat="1" applyFont="1" applyFill="1" applyBorder="1" applyAlignment="1">
      <alignment horizontal="left" vertical="center" wrapText="1"/>
    </xf>
    <xf numFmtId="10" fontId="33" fillId="7" borderId="1" xfId="0" applyNumberFormat="1" applyFont="1" applyFill="1" applyBorder="1" applyAlignment="1">
      <alignment horizontal="left" vertical="center" wrapText="1"/>
    </xf>
    <xf numFmtId="0" fontId="13" fillId="0" borderId="12" xfId="0" applyFont="1" applyBorder="1" applyAlignment="1">
      <alignment horizontal="right" vertical="center" wrapText="1"/>
    </xf>
    <xf numFmtId="0" fontId="13" fillId="0" borderId="1" xfId="0" applyFont="1" applyBorder="1" applyAlignment="1">
      <alignment horizontal="left" vertical="center" wrapText="1"/>
    </xf>
    <xf numFmtId="10" fontId="13" fillId="0" borderId="1" xfId="2" applyNumberFormat="1" applyFont="1" applyFill="1" applyBorder="1" applyAlignment="1">
      <alignment horizontal="left" vertical="center" wrapText="1"/>
    </xf>
    <xf numFmtId="0" fontId="13" fillId="0" borderId="0" xfId="0" applyFont="1" applyAlignment="1">
      <alignment horizontal="left" vertical="center"/>
    </xf>
    <xf numFmtId="10" fontId="33" fillId="7" borderId="1" xfId="2" applyNumberFormat="1" applyFont="1" applyFill="1" applyBorder="1" applyAlignment="1">
      <alignment horizontal="left" vertical="center" wrapText="1"/>
    </xf>
    <xf numFmtId="49" fontId="13" fillId="0" borderId="12" xfId="0" applyNumberFormat="1" applyFont="1" applyBorder="1" applyAlignment="1">
      <alignment horizontal="right" vertical="center" wrapText="1"/>
    </xf>
    <xf numFmtId="10" fontId="33" fillId="7" borderId="1" xfId="0" applyNumberFormat="1" applyFont="1" applyFill="1" applyBorder="1" applyAlignment="1">
      <alignment horizontal="center" vertical="center" wrapText="1"/>
    </xf>
    <xf numFmtId="0" fontId="33" fillId="0" borderId="12" xfId="0" applyFont="1" applyBorder="1" applyAlignment="1">
      <alignment horizontal="left" vertical="center" wrapText="1"/>
    </xf>
    <xf numFmtId="49" fontId="42" fillId="0" borderId="26" xfId="13" applyNumberFormat="1" applyFont="1" applyBorder="1" applyAlignment="1" applyProtection="1">
      <alignment horizontal="left" vertical="center"/>
      <protection locked="0"/>
    </xf>
    <xf numFmtId="0" fontId="43" fillId="0" borderId="27" xfId="9" applyFont="1" applyBorder="1" applyAlignment="1" applyProtection="1">
      <alignment horizontal="left" vertical="center" wrapText="1"/>
      <protection locked="0"/>
    </xf>
    <xf numFmtId="10" fontId="43" fillId="0" borderId="27" xfId="2" applyNumberFormat="1" applyFont="1" applyFill="1" applyBorder="1" applyAlignment="1" applyProtection="1">
      <alignment horizontal="left" vertical="center"/>
    </xf>
    <xf numFmtId="0" fontId="7" fillId="0" borderId="0" xfId="0" applyFont="1"/>
    <xf numFmtId="0" fontId="14" fillId="0" borderId="0" xfId="5" applyFont="1"/>
    <xf numFmtId="0" fontId="14" fillId="0" borderId="0" xfId="5" applyFont="1" applyAlignment="1">
      <alignment horizontal="center"/>
    </xf>
    <xf numFmtId="0" fontId="34" fillId="0" borderId="0" xfId="0" applyFont="1" applyAlignment="1" applyProtection="1">
      <alignment horizontal="right"/>
      <protection locked="0"/>
    </xf>
    <xf numFmtId="0" fontId="4" fillId="0" borderId="4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169" fontId="7" fillId="0" borderId="53" xfId="0" applyNumberFormat="1" applyFont="1" applyBorder="1" applyAlignment="1">
      <alignment horizontal="center"/>
    </xf>
    <xf numFmtId="169" fontId="0" fillId="0" borderId="0" xfId="0" applyNumberFormat="1" applyAlignment="1">
      <alignment horizontal="center"/>
    </xf>
    <xf numFmtId="169" fontId="7" fillId="0" borderId="55" xfId="0" applyNumberFormat="1" applyFont="1" applyBorder="1" applyAlignment="1">
      <alignment horizontal="center"/>
    </xf>
    <xf numFmtId="169" fontId="45" fillId="0" borderId="55" xfId="0" applyNumberFormat="1" applyFont="1" applyBorder="1" applyAlignment="1">
      <alignment horizontal="center"/>
    </xf>
    <xf numFmtId="169" fontId="46" fillId="0" borderId="0" xfId="0" applyNumberFormat="1" applyFont="1" applyAlignment="1">
      <alignment horizontal="center"/>
    </xf>
    <xf numFmtId="169" fontId="34" fillId="0" borderId="55" xfId="0" applyNumberFormat="1" applyFont="1" applyBorder="1" applyAlignment="1">
      <alignment horizontal="center"/>
    </xf>
    <xf numFmtId="169" fontId="7" fillId="0" borderId="57" xfId="0" applyNumberFormat="1" applyFont="1" applyBorder="1" applyAlignment="1">
      <alignment horizontal="center"/>
    </xf>
    <xf numFmtId="169" fontId="44" fillId="0" borderId="58" xfId="0" applyNumberFormat="1" applyFont="1" applyBorder="1" applyAlignment="1">
      <alignment horizontal="center"/>
    </xf>
    <xf numFmtId="169" fontId="3" fillId="0" borderId="0" xfId="0" applyNumberFormat="1" applyFont="1" applyAlignment="1">
      <alignment horizontal="center"/>
    </xf>
    <xf numFmtId="169" fontId="45" fillId="3" borderId="60" xfId="0" applyNumberFormat="1" applyFont="1" applyFill="1" applyBorder="1" applyAlignment="1">
      <alignment horizontal="center"/>
    </xf>
    <xf numFmtId="169" fontId="7" fillId="0" borderId="61" xfId="0" applyNumberFormat="1" applyFont="1" applyBorder="1" applyAlignment="1">
      <alignment horizontal="center"/>
    </xf>
    <xf numFmtId="0" fontId="0" fillId="0" borderId="2" xfId="0" applyBorder="1" applyAlignment="1">
      <alignment horizontal="center"/>
    </xf>
    <xf numFmtId="0" fontId="24" fillId="0" borderId="2" xfId="7" applyFont="1" applyBorder="1" applyAlignment="1">
      <alignment horizontal="left" vertical="center" wrapText="1" indent="1"/>
    </xf>
    <xf numFmtId="0" fontId="24" fillId="2" borderId="1" xfId="0" applyFont="1" applyFill="1" applyBorder="1" applyAlignment="1">
      <alignment horizontal="left" vertical="center" wrapText="1" indent="1"/>
    </xf>
    <xf numFmtId="169" fontId="7" fillId="0" borderId="1" xfId="0" applyNumberFormat="1" applyFont="1" applyBorder="1" applyAlignment="1">
      <alignment horizontal="center"/>
    </xf>
    <xf numFmtId="0" fontId="24" fillId="0" borderId="1" xfId="0" applyFont="1" applyBorder="1" applyAlignment="1">
      <alignment horizontal="left" vertical="center" wrapText="1" indent="1"/>
    </xf>
    <xf numFmtId="0" fontId="26" fillId="2" borderId="1" xfId="0" applyFont="1" applyFill="1" applyBorder="1" applyAlignment="1">
      <alignment horizontal="left" vertical="center" wrapText="1" indent="1"/>
    </xf>
    <xf numFmtId="0" fontId="26" fillId="0" borderId="1" xfId="0" applyFont="1" applyBorder="1" applyAlignment="1">
      <alignment horizontal="left" vertical="center" wrapText="1" indent="1"/>
    </xf>
    <xf numFmtId="166" fontId="7" fillId="0" borderId="0" xfId="1" applyNumberFormat="1" applyFont="1"/>
    <xf numFmtId="0" fontId="33" fillId="0" borderId="0" xfId="0" applyFont="1" applyAlignment="1">
      <alignment horizontal="center" wrapText="1"/>
    </xf>
    <xf numFmtId="0" fontId="4" fillId="0" borderId="63" xfId="0" applyFont="1" applyBorder="1"/>
    <xf numFmtId="0" fontId="4" fillId="0" borderId="64" xfId="0" applyFont="1" applyBorder="1"/>
    <xf numFmtId="0" fontId="4" fillId="0" borderId="10" xfId="0" applyFont="1" applyBorder="1" applyAlignment="1">
      <alignment horizontal="center" vertical="center"/>
    </xf>
    <xf numFmtId="0" fontId="4" fillId="0" borderId="41" xfId="0" applyFont="1" applyBorder="1" applyAlignment="1">
      <alignment horizontal="center" vertical="center"/>
    </xf>
    <xf numFmtId="0" fontId="4" fillId="0" borderId="11" xfId="0" applyFont="1" applyBorder="1" applyAlignment="1">
      <alignment horizontal="center" vertical="center"/>
    </xf>
    <xf numFmtId="0" fontId="4" fillId="0" borderId="65" xfId="0" applyFont="1" applyBorder="1"/>
    <xf numFmtId="9" fontId="48" fillId="0" borderId="1" xfId="0" applyNumberFormat="1" applyFont="1" applyBorder="1" applyAlignment="1">
      <alignment horizontal="center" vertical="center"/>
    </xf>
    <xf numFmtId="0" fontId="4" fillId="0" borderId="12" xfId="0" applyFont="1" applyBorder="1" applyAlignment="1">
      <alignment vertical="center"/>
    </xf>
    <xf numFmtId="0" fontId="8" fillId="2" borderId="1" xfId="11" applyFont="1" applyFill="1" applyBorder="1" applyAlignment="1" applyProtection="1">
      <alignment horizontal="left" vertical="center"/>
      <protection locked="0"/>
    </xf>
    <xf numFmtId="165" fontId="4" fillId="0" borderId="1" xfId="0" applyNumberFormat="1" applyFont="1" applyBorder="1"/>
    <xf numFmtId="165" fontId="4" fillId="0" borderId="20" xfId="0" applyNumberFormat="1" applyFont="1" applyBorder="1"/>
    <xf numFmtId="169" fontId="4" fillId="0" borderId="19" xfId="0" applyNumberFormat="1" applyFont="1" applyBorder="1"/>
    <xf numFmtId="0" fontId="8" fillId="0" borderId="1" xfId="11" applyFont="1" applyBorder="1" applyAlignment="1" applyProtection="1">
      <alignment horizontal="left" vertical="center"/>
      <protection locked="0"/>
    </xf>
    <xf numFmtId="0" fontId="8" fillId="2" borderId="26" xfId="9" applyFont="1" applyFill="1" applyBorder="1" applyAlignment="1" applyProtection="1">
      <alignment horizontal="left" vertical="center"/>
      <protection locked="0"/>
    </xf>
    <xf numFmtId="0" fontId="15" fillId="2" borderId="27" xfId="14" applyFont="1" applyFill="1" applyBorder="1" applyProtection="1">
      <protection locked="0"/>
    </xf>
    <xf numFmtId="165" fontId="4" fillId="7" borderId="27" xfId="0" applyNumberFormat="1" applyFont="1" applyFill="1" applyBorder="1"/>
    <xf numFmtId="166" fontId="4" fillId="7" borderId="28" xfId="1" applyNumberFormat="1" applyFont="1" applyFill="1" applyBorder="1"/>
    <xf numFmtId="0" fontId="4" fillId="0" borderId="9" xfId="0" applyFont="1" applyBorder="1"/>
    <xf numFmtId="0" fontId="4" fillId="0" borderId="11" xfId="0" applyFont="1" applyBorder="1"/>
    <xf numFmtId="0" fontId="4" fillId="0" borderId="19" xfId="0" applyFont="1" applyBorder="1" applyAlignment="1">
      <alignment horizontal="center" vertical="center"/>
    </xf>
    <xf numFmtId="166" fontId="8" fillId="2" borderId="12" xfId="15" applyNumberFormat="1" applyFont="1" applyFill="1" applyBorder="1" applyAlignment="1" applyProtection="1">
      <alignment horizontal="center" vertical="center" wrapText="1"/>
      <protection locked="0"/>
    </xf>
    <xf numFmtId="166" fontId="8" fillId="2" borderId="1" xfId="15" applyNumberFormat="1" applyFont="1" applyFill="1" applyBorder="1" applyAlignment="1" applyProtection="1">
      <alignment horizontal="center" vertical="center" wrapText="1"/>
      <protection locked="0"/>
    </xf>
    <xf numFmtId="0" fontId="8" fillId="0" borderId="1" xfId="11" applyFont="1" applyBorder="1" applyAlignment="1" applyProtection="1">
      <alignment horizontal="center" vertical="center" wrapText="1"/>
      <protection locked="0"/>
    </xf>
    <xf numFmtId="166" fontId="8" fillId="2" borderId="19" xfId="15" applyNumberFormat="1" applyFont="1" applyFill="1" applyBorder="1" applyAlignment="1" applyProtection="1">
      <alignment horizontal="center" vertical="center" wrapText="1"/>
      <protection locked="0"/>
    </xf>
    <xf numFmtId="0" fontId="8" fillId="2" borderId="12" xfId="13" applyFont="1" applyFill="1" applyBorder="1" applyAlignment="1" applyProtection="1">
      <alignment horizontal="right" vertical="center"/>
      <protection locked="0"/>
    </xf>
    <xf numFmtId="0" fontId="8" fillId="2" borderId="19" xfId="11" applyFont="1" applyFill="1" applyBorder="1" applyAlignment="1" applyProtection="1">
      <alignment horizontal="left" vertical="center"/>
      <protection locked="0"/>
    </xf>
    <xf numFmtId="165" fontId="4" fillId="0" borderId="12" xfId="0" applyNumberFormat="1" applyFont="1" applyBorder="1"/>
    <xf numFmtId="165" fontId="4" fillId="0" borderId="19" xfId="0" applyNumberFormat="1" applyFont="1" applyBorder="1"/>
    <xf numFmtId="165" fontId="4" fillId="0" borderId="22" xfId="0" applyNumberFormat="1" applyFont="1" applyBorder="1" applyAlignment="1">
      <alignment wrapText="1"/>
    </xf>
    <xf numFmtId="165" fontId="4" fillId="0" borderId="22" xfId="0" applyNumberFormat="1" applyFont="1" applyBorder="1"/>
    <xf numFmtId="165" fontId="4" fillId="7" borderId="69" xfId="0" applyNumberFormat="1" applyFont="1" applyFill="1" applyBorder="1"/>
    <xf numFmtId="0" fontId="15" fillId="2" borderId="28" xfId="14" applyFont="1" applyFill="1" applyBorder="1" applyProtection="1">
      <protection locked="0"/>
    </xf>
    <xf numFmtId="165" fontId="4" fillId="7" borderId="26" xfId="0" applyNumberFormat="1" applyFont="1" applyFill="1" applyBorder="1"/>
    <xf numFmtId="165" fontId="4" fillId="7" borderId="28" xfId="0" applyNumberFormat="1" applyFont="1" applyFill="1" applyBorder="1"/>
    <xf numFmtId="165" fontId="4" fillId="7" borderId="70" xfId="0" applyNumberFormat="1" applyFont="1" applyFill="1" applyBorder="1"/>
    <xf numFmtId="0" fontId="4" fillId="0" borderId="0" xfId="0" applyFont="1" applyAlignment="1">
      <alignment horizontal="center" vertical="center" wrapText="1"/>
    </xf>
    <xf numFmtId="0" fontId="4" fillId="0" borderId="0" xfId="0" applyFont="1" applyAlignment="1">
      <alignment vertical="center" wrapText="1"/>
    </xf>
    <xf numFmtId="0" fontId="4" fillId="0" borderId="10" xfId="0" applyFont="1" applyBorder="1"/>
    <xf numFmtId="0" fontId="4" fillId="0" borderId="10" xfId="0" applyFont="1" applyBorder="1" applyAlignment="1">
      <alignment wrapText="1"/>
    </xf>
    <xf numFmtId="0" fontId="4" fillId="0" borderId="41" xfId="0" applyFont="1" applyBorder="1" applyAlignment="1">
      <alignment wrapText="1"/>
    </xf>
    <xf numFmtId="0" fontId="4" fillId="0" borderId="11" xfId="0" applyFont="1" applyBorder="1" applyAlignment="1">
      <alignment wrapText="1"/>
    </xf>
    <xf numFmtId="0" fontId="32" fillId="0" borderId="0" xfId="0" applyFont="1" applyAlignment="1">
      <alignment wrapText="1"/>
    </xf>
    <xf numFmtId="0" fontId="4" fillId="0" borderId="29" xfId="0" applyFont="1" applyBorder="1"/>
    <xf numFmtId="0" fontId="4" fillId="0" borderId="12" xfId="0" applyFont="1" applyBorder="1"/>
    <xf numFmtId="9" fontId="4" fillId="0" borderId="19" xfId="2" applyFont="1" applyBorder="1"/>
    <xf numFmtId="0" fontId="4" fillId="0" borderId="26" xfId="0" applyFont="1" applyBorder="1"/>
    <xf numFmtId="0" fontId="33" fillId="0" borderId="27" xfId="0" applyFont="1" applyBorder="1"/>
    <xf numFmtId="9" fontId="4" fillId="7" borderId="28" xfId="2" applyFont="1" applyFill="1" applyBorder="1"/>
    <xf numFmtId="0" fontId="4" fillId="0" borderId="0" xfId="0" applyFont="1" applyAlignment="1">
      <alignment horizontal="left"/>
    </xf>
    <xf numFmtId="0" fontId="49" fillId="2" borderId="14" xfId="0" applyFont="1" applyFill="1" applyBorder="1" applyAlignment="1">
      <alignment horizontal="left"/>
    </xf>
    <xf numFmtId="0" fontId="49" fillId="2" borderId="4" xfId="0" applyFont="1" applyFill="1" applyBorder="1" applyAlignment="1">
      <alignment horizontal="left"/>
    </xf>
    <xf numFmtId="0" fontId="4" fillId="0" borderId="19" xfId="0" applyFont="1" applyBorder="1" applyAlignment="1">
      <alignment horizontal="center" vertical="center" wrapText="1"/>
    </xf>
    <xf numFmtId="0" fontId="33" fillId="2" borderId="23"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0" borderId="38" xfId="0" applyFont="1" applyBorder="1" applyAlignment="1">
      <alignment horizontal="center" vertical="center"/>
    </xf>
    <xf numFmtId="0" fontId="4" fillId="0" borderId="29" xfId="0" applyFont="1" applyBorder="1" applyAlignment="1">
      <alignment vertical="center"/>
    </xf>
    <xf numFmtId="164" fontId="18" fillId="4" borderId="0" xfId="6"/>
    <xf numFmtId="166" fontId="4" fillId="0" borderId="15" xfId="1" applyNumberFormat="1" applyFont="1" applyBorder="1" applyAlignment="1">
      <alignment vertical="center"/>
    </xf>
    <xf numFmtId="166" fontId="4" fillId="0" borderId="42" xfId="1" applyNumberFormat="1" applyFont="1" applyBorder="1" applyAlignment="1">
      <alignment vertical="center"/>
    </xf>
    <xf numFmtId="166" fontId="4" fillId="2" borderId="21" xfId="1" applyNumberFormat="1" applyFont="1" applyFill="1" applyBorder="1" applyAlignment="1">
      <alignment vertical="center"/>
    </xf>
    <xf numFmtId="166" fontId="4" fillId="2" borderId="22" xfId="1" applyNumberFormat="1" applyFont="1" applyFill="1" applyBorder="1" applyAlignment="1">
      <alignment vertical="center"/>
    </xf>
    <xf numFmtId="0" fontId="4" fillId="0" borderId="1" xfId="0" applyFont="1" applyBorder="1" applyAlignment="1">
      <alignment vertical="center"/>
    </xf>
    <xf numFmtId="166" fontId="4" fillId="0" borderId="20" xfId="1" applyNumberFormat="1" applyFont="1" applyBorder="1" applyAlignment="1">
      <alignment vertical="center"/>
    </xf>
    <xf numFmtId="166" fontId="4" fillId="0" borderId="19" xfId="1" applyNumberFormat="1" applyFont="1" applyBorder="1" applyAlignment="1">
      <alignment vertical="center"/>
    </xf>
    <xf numFmtId="0" fontId="33" fillId="0" borderId="1" xfId="0" applyFont="1" applyBorder="1" applyAlignment="1">
      <alignment vertical="center"/>
    </xf>
    <xf numFmtId="166" fontId="4" fillId="2" borderId="21" xfId="0" applyNumberFormat="1" applyFont="1" applyFill="1" applyBorder="1" applyAlignment="1">
      <alignment vertical="center"/>
    </xf>
    <xf numFmtId="166" fontId="4" fillId="0" borderId="1" xfId="0" applyNumberFormat="1" applyFont="1" applyBorder="1" applyAlignment="1">
      <alignment vertical="center"/>
    </xf>
    <xf numFmtId="166" fontId="4" fillId="0" borderId="20" xfId="0" applyNumberFormat="1" applyFont="1" applyBorder="1" applyAlignment="1">
      <alignment vertical="center"/>
    </xf>
    <xf numFmtId="0" fontId="4" fillId="0" borderId="26" xfId="0" applyFont="1" applyBorder="1" applyAlignment="1">
      <alignment horizontal="center" vertical="center"/>
    </xf>
    <xf numFmtId="0" fontId="33" fillId="0" borderId="27" xfId="0" applyFont="1" applyBorder="1" applyAlignment="1">
      <alignment vertical="center"/>
    </xf>
    <xf numFmtId="166" fontId="4" fillId="0" borderId="27" xfId="1" applyNumberFormat="1" applyFont="1" applyBorder="1" applyAlignment="1">
      <alignment vertical="center"/>
    </xf>
    <xf numFmtId="166" fontId="4" fillId="0" borderId="39" xfId="1" applyNumberFormat="1" applyFont="1" applyBorder="1" applyAlignment="1">
      <alignment vertical="center"/>
    </xf>
    <xf numFmtId="166" fontId="4" fillId="0" borderId="28" xfId="1" applyNumberFormat="1" applyFont="1" applyBorder="1" applyAlignment="1">
      <alignment vertical="center"/>
    </xf>
    <xf numFmtId="0" fontId="4" fillId="2" borderId="65" xfId="0" applyFont="1" applyFill="1" applyBorder="1" applyAlignment="1">
      <alignment horizontal="center" vertical="center"/>
    </xf>
    <xf numFmtId="0" fontId="4" fillId="2" borderId="0" xfId="0" applyFont="1" applyFill="1" applyAlignment="1">
      <alignment vertical="center"/>
    </xf>
    <xf numFmtId="0" fontId="4" fillId="0" borderId="9" xfId="0" applyFont="1" applyBorder="1" applyAlignment="1">
      <alignment horizontal="center" vertical="center"/>
    </xf>
    <xf numFmtId="0" fontId="4" fillId="0" borderId="41" xfId="0" applyFont="1" applyBorder="1" applyAlignment="1">
      <alignment vertical="center"/>
    </xf>
    <xf numFmtId="164" fontId="18" fillId="4" borderId="63" xfId="6" applyBorder="1"/>
    <xf numFmtId="164" fontId="18" fillId="4" borderId="64" xfId="6" applyBorder="1"/>
    <xf numFmtId="166" fontId="4" fillId="0" borderId="41" xfId="1" applyNumberFormat="1" applyFont="1" applyBorder="1" applyAlignment="1">
      <alignment vertical="center"/>
    </xf>
    <xf numFmtId="43" fontId="4" fillId="0" borderId="41" xfId="1" applyFont="1" applyBorder="1" applyAlignment="1">
      <alignment vertical="center"/>
    </xf>
    <xf numFmtId="43" fontId="4" fillId="0" borderId="11" xfId="1" applyFont="1" applyBorder="1" applyAlignment="1">
      <alignment vertical="center"/>
    </xf>
    <xf numFmtId="0" fontId="4" fillId="0" borderId="24" xfId="0" applyFont="1" applyBorder="1" applyAlignment="1">
      <alignment horizontal="center" vertical="center"/>
    </xf>
    <xf numFmtId="0" fontId="4" fillId="0" borderId="3" xfId="0" applyFont="1" applyBorder="1" applyAlignment="1">
      <alignment vertical="center"/>
    </xf>
    <xf numFmtId="164" fontId="18" fillId="4" borderId="72" xfId="6" applyBorder="1"/>
    <xf numFmtId="164" fontId="18" fillId="4" borderId="45" xfId="6" applyBorder="1"/>
    <xf numFmtId="164" fontId="18" fillId="4" borderId="43" xfId="6" applyBorder="1"/>
    <xf numFmtId="166" fontId="4" fillId="0" borderId="3" xfId="1" applyNumberFormat="1" applyFont="1" applyBorder="1" applyAlignment="1">
      <alignment vertical="center"/>
    </xf>
    <xf numFmtId="43" fontId="4" fillId="0" borderId="3" xfId="1" applyFont="1" applyBorder="1" applyAlignment="1">
      <alignment vertical="center"/>
    </xf>
    <xf numFmtId="43" fontId="4" fillId="0" borderId="25" xfId="1" applyFont="1" applyBorder="1" applyAlignment="1">
      <alignment vertical="center"/>
    </xf>
    <xf numFmtId="0" fontId="4" fillId="0" borderId="73" xfId="0" applyFont="1" applyBorder="1" applyAlignment="1">
      <alignment horizontal="center" vertical="center"/>
    </xf>
    <xf numFmtId="0" fontId="4" fillId="0" borderId="74" xfId="0" applyFont="1" applyBorder="1" applyAlignment="1">
      <alignment vertical="center"/>
    </xf>
    <xf numFmtId="164" fontId="18" fillId="4" borderId="6" xfId="6" applyBorder="1"/>
    <xf numFmtId="164" fontId="18" fillId="4" borderId="7" xfId="6" applyBorder="1"/>
    <xf numFmtId="9" fontId="4" fillId="0" borderId="74" xfId="2" applyFont="1" applyBorder="1" applyAlignment="1">
      <alignment vertical="center"/>
    </xf>
    <xf numFmtId="9" fontId="4" fillId="0" borderId="75" xfId="2" applyFont="1" applyBorder="1" applyAlignment="1">
      <alignment vertical="center"/>
    </xf>
    <xf numFmtId="43" fontId="4" fillId="0" borderId="0" xfId="0" applyNumberFormat="1" applyFont="1"/>
    <xf numFmtId="0" fontId="44" fillId="0" borderId="0" xfId="0" applyFont="1"/>
    <xf numFmtId="0" fontId="4" fillId="0" borderId="63" xfId="0" applyFont="1" applyBorder="1" applyAlignment="1">
      <alignment horizontal="center"/>
    </xf>
    <xf numFmtId="0" fontId="4" fillId="0" borderId="64"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32" fillId="0" borderId="0" xfId="0" applyFont="1" applyAlignment="1">
      <alignment horizontal="center"/>
    </xf>
    <xf numFmtId="0" fontId="9" fillId="2" borderId="12" xfId="13" applyFont="1" applyFill="1" applyBorder="1" applyAlignment="1" applyProtection="1">
      <alignment horizontal="left" vertical="center"/>
      <protection locked="0"/>
    </xf>
    <xf numFmtId="0" fontId="9" fillId="2" borderId="1" xfId="13" applyFont="1" applyFill="1" applyBorder="1" applyProtection="1">
      <protection locked="0"/>
    </xf>
    <xf numFmtId="0" fontId="9" fillId="0" borderId="1" xfId="11" applyFont="1" applyBorder="1" applyAlignment="1" applyProtection="1">
      <alignment horizontal="center" vertical="center" wrapText="1"/>
      <protection locked="0"/>
    </xf>
    <xf numFmtId="0" fontId="9" fillId="2" borderId="1" xfId="11" applyFont="1" applyFill="1" applyBorder="1" applyAlignment="1" applyProtection="1">
      <alignment horizontal="center" vertical="center" wrapText="1"/>
      <protection locked="0"/>
    </xf>
    <xf numFmtId="3" fontId="9" fillId="2" borderId="1" xfId="15" applyNumberFormat="1" applyFont="1" applyFill="1" applyBorder="1" applyAlignment="1" applyProtection="1">
      <alignment horizontal="center" vertical="center" wrapText="1"/>
      <protection locked="0"/>
    </xf>
    <xf numFmtId="9" fontId="9" fillId="2" borderId="1" xfId="16" applyNumberFormat="1" applyFont="1" applyFill="1" applyBorder="1" applyAlignment="1" applyProtection="1">
      <alignment horizontal="center" vertical="center"/>
      <protection locked="0"/>
    </xf>
    <xf numFmtId="0" fontId="9" fillId="2" borderId="19" xfId="11" applyFont="1" applyFill="1" applyBorder="1" applyAlignment="1" applyProtection="1">
      <alignment horizontal="center" vertical="center" wrapText="1"/>
      <protection locked="0"/>
    </xf>
    <xf numFmtId="0" fontId="9" fillId="2" borderId="12" xfId="13" applyFont="1" applyFill="1" applyBorder="1" applyAlignment="1" applyProtection="1">
      <alignment horizontal="right" vertical="center"/>
      <protection locked="0"/>
    </xf>
    <xf numFmtId="0" fontId="14" fillId="2" borderId="1" xfId="11" applyFont="1" applyFill="1" applyBorder="1" applyAlignment="1" applyProtection="1">
      <alignment wrapText="1"/>
      <protection locked="0"/>
    </xf>
    <xf numFmtId="165" fontId="9" fillId="7" borderId="1" xfId="13" applyNumberFormat="1" applyFont="1" applyFill="1" applyBorder="1" applyProtection="1">
      <protection locked="0"/>
    </xf>
    <xf numFmtId="165" fontId="9" fillId="7" borderId="1" xfId="15" applyNumberFormat="1" applyFont="1" applyFill="1" applyBorder="1" applyProtection="1">
      <protection locked="0"/>
    </xf>
    <xf numFmtId="3" fontId="9" fillId="7" borderId="19" xfId="13" applyNumberFormat="1" applyFont="1" applyFill="1" applyBorder="1" applyProtection="1">
      <protection locked="0"/>
    </xf>
    <xf numFmtId="0" fontId="9" fillId="2" borderId="1" xfId="11" applyFont="1" applyFill="1" applyBorder="1" applyAlignment="1" applyProtection="1">
      <alignment horizontal="left" vertical="center" wrapText="1"/>
      <protection locked="0"/>
    </xf>
    <xf numFmtId="165" fontId="9" fillId="2" borderId="1" xfId="13" applyNumberFormat="1" applyFont="1" applyFill="1" applyBorder="1" applyProtection="1">
      <protection locked="0"/>
    </xf>
    <xf numFmtId="167" fontId="9" fillId="2" borderId="1" xfId="8" applyNumberFormat="1" applyFont="1" applyFill="1" applyBorder="1" applyAlignment="1" applyProtection="1">
      <alignment horizontal="right" wrapText="1"/>
      <protection locked="0"/>
    </xf>
    <xf numFmtId="0" fontId="9" fillId="0" borderId="1" xfId="11" applyFont="1" applyBorder="1" applyAlignment="1" applyProtection="1">
      <alignment horizontal="left" vertical="center" wrapText="1"/>
      <protection locked="0"/>
    </xf>
    <xf numFmtId="167" fontId="9" fillId="10" borderId="1" xfId="8" applyNumberFormat="1" applyFont="1" applyFill="1" applyBorder="1" applyAlignment="1" applyProtection="1">
      <alignment horizontal="right" wrapText="1"/>
      <protection locked="0"/>
    </xf>
    <xf numFmtId="0" fontId="14" fillId="0" borderId="1" xfId="11" applyFont="1" applyBorder="1" applyAlignment="1" applyProtection="1">
      <alignment wrapText="1"/>
      <protection locked="0"/>
    </xf>
    <xf numFmtId="165" fontId="9" fillId="0" borderId="1" xfId="15" applyNumberFormat="1" applyFont="1" applyFill="1" applyBorder="1" applyProtection="1">
      <protection locked="0"/>
    </xf>
    <xf numFmtId="0" fontId="9" fillId="2" borderId="26" xfId="9" applyFont="1" applyFill="1" applyBorder="1" applyAlignment="1" applyProtection="1">
      <alignment horizontal="right" vertical="center"/>
      <protection locked="0"/>
    </xf>
    <xf numFmtId="0" fontId="14" fillId="2" borderId="27" xfId="14" applyFont="1" applyFill="1" applyBorder="1" applyProtection="1">
      <protection locked="0"/>
    </xf>
    <xf numFmtId="165" fontId="14" fillId="7" borderId="27" xfId="14" applyNumberFormat="1" applyFont="1" applyFill="1" applyBorder="1" applyProtection="1">
      <protection locked="0"/>
    </xf>
    <xf numFmtId="3" fontId="14" fillId="7" borderId="27" xfId="14" applyNumberFormat="1" applyFont="1" applyFill="1" applyBorder="1" applyProtection="1">
      <protection locked="0"/>
    </xf>
    <xf numFmtId="165" fontId="14" fillId="7" borderId="27" xfId="15" applyNumberFormat="1" applyFont="1" applyFill="1" applyBorder="1" applyAlignment="1" applyProtection="1">
      <protection locked="0"/>
    </xf>
    <xf numFmtId="165" fontId="9" fillId="2" borderId="27" xfId="13" applyNumberFormat="1" applyFont="1" applyFill="1" applyBorder="1" applyProtection="1">
      <protection locked="0"/>
    </xf>
    <xf numFmtId="166" fontId="14" fillId="7" borderId="28" xfId="15" applyNumberFormat="1" applyFont="1" applyFill="1" applyBorder="1" applyAlignment="1" applyProtection="1">
      <protection locked="0"/>
    </xf>
    <xf numFmtId="165" fontId="7" fillId="0" borderId="0" xfId="0" applyNumberFormat="1" applyFont="1"/>
    <xf numFmtId="0" fontId="50" fillId="11" borderId="20" xfId="17" applyFont="1" applyFill="1" applyBorder="1" applyAlignment="1" applyProtection="1">
      <alignment vertical="center" wrapText="1"/>
      <protection locked="0"/>
    </xf>
    <xf numFmtId="0" fontId="51" fillId="11" borderId="30" xfId="17" applyFont="1" applyFill="1" applyBorder="1" applyProtection="1">
      <alignment vertical="center"/>
      <protection locked="0"/>
    </xf>
    <xf numFmtId="0" fontId="52" fillId="12" borderId="2" xfId="17" applyFont="1" applyFill="1" applyBorder="1" applyAlignment="1" applyProtection="1">
      <alignment horizontal="center" vertical="center"/>
      <protection locked="0"/>
    </xf>
    <xf numFmtId="0" fontId="52" fillId="0" borderId="30" xfId="17" applyFont="1" applyBorder="1" applyAlignment="1" applyProtection="1">
      <alignment horizontal="left" vertical="center" wrapText="1"/>
      <protection locked="0"/>
    </xf>
    <xf numFmtId="0" fontId="50" fillId="9" borderId="1" xfId="17" applyFont="1" applyFill="1" applyBorder="1" applyAlignment="1" applyProtection="1">
      <alignment horizontal="center" vertical="center"/>
      <protection locked="0"/>
    </xf>
    <xf numFmtId="0" fontId="50" fillId="9" borderId="30" xfId="17" applyFont="1" applyFill="1" applyBorder="1" applyAlignment="1" applyProtection="1">
      <alignment vertical="top" wrapText="1"/>
      <protection locked="0"/>
    </xf>
    <xf numFmtId="166" fontId="52" fillId="9" borderId="1" xfId="18" applyNumberFormat="1" applyFont="1" applyFill="1" applyBorder="1" applyAlignment="1" applyProtection="1">
      <alignment horizontal="right" vertical="center"/>
    </xf>
    <xf numFmtId="0" fontId="50" fillId="11" borderId="20" xfId="17" applyFont="1" applyFill="1" applyBorder="1" applyProtection="1">
      <alignment vertical="center"/>
      <protection locked="0"/>
    </xf>
    <xf numFmtId="166" fontId="51" fillId="11" borderId="30" xfId="18" applyNumberFormat="1" applyFont="1" applyFill="1" applyBorder="1" applyAlignment="1" applyProtection="1">
      <alignment horizontal="right" vertical="center"/>
      <protection locked="0"/>
    </xf>
    <xf numFmtId="0" fontId="53" fillId="12" borderId="2" xfId="17" applyFont="1" applyFill="1" applyBorder="1" applyAlignment="1" applyProtection="1">
      <alignment horizontal="center" vertical="center"/>
      <protection locked="0"/>
    </xf>
    <xf numFmtId="0" fontId="52" fillId="12" borderId="30" xfId="17" applyFont="1" applyFill="1" applyBorder="1" applyAlignment="1" applyProtection="1">
      <alignment vertical="center" wrapText="1"/>
      <protection locked="0"/>
    </xf>
    <xf numFmtId="166" fontId="52" fillId="0" borderId="1" xfId="18" applyNumberFormat="1" applyFont="1" applyFill="1" applyBorder="1" applyAlignment="1" applyProtection="1">
      <alignment horizontal="right" vertical="center"/>
      <protection locked="0"/>
    </xf>
    <xf numFmtId="0" fontId="52" fillId="12" borderId="30" xfId="17" applyFont="1" applyFill="1" applyBorder="1" applyAlignment="1" applyProtection="1">
      <alignment horizontal="left" vertical="center" wrapText="1"/>
      <protection locked="0"/>
    </xf>
    <xf numFmtId="0" fontId="53" fillId="2" borderId="2" xfId="17" applyFont="1" applyFill="1" applyBorder="1" applyAlignment="1" applyProtection="1">
      <alignment horizontal="center" vertical="center"/>
      <protection locked="0"/>
    </xf>
    <xf numFmtId="0" fontId="52" fillId="0" borderId="30" xfId="17" applyFont="1" applyBorder="1" applyAlignment="1" applyProtection="1">
      <alignment vertical="center" wrapText="1"/>
      <protection locked="0"/>
    </xf>
    <xf numFmtId="0" fontId="52" fillId="2" borderId="30" xfId="17" applyFont="1" applyFill="1" applyBorder="1" applyAlignment="1" applyProtection="1">
      <alignment horizontal="left" vertical="center" wrapText="1"/>
      <protection locked="0"/>
    </xf>
    <xf numFmtId="0" fontId="53" fillId="0" borderId="2" xfId="17" applyFont="1" applyBorder="1" applyAlignment="1" applyProtection="1">
      <alignment horizontal="center" vertical="center"/>
      <protection locked="0"/>
    </xf>
    <xf numFmtId="0" fontId="54" fillId="9" borderId="1" xfId="17" applyFont="1" applyFill="1" applyBorder="1" applyAlignment="1" applyProtection="1">
      <alignment horizontal="center" vertical="center"/>
      <protection locked="0"/>
    </xf>
    <xf numFmtId="0" fontId="50" fillId="9" borderId="30" xfId="17" applyFont="1" applyFill="1" applyBorder="1" applyAlignment="1" applyProtection="1">
      <alignment vertical="center" wrapText="1"/>
      <protection locked="0"/>
    </xf>
    <xf numFmtId="166" fontId="50" fillId="11" borderId="30" xfId="18" applyNumberFormat="1" applyFont="1" applyFill="1" applyBorder="1" applyAlignment="1" applyProtection="1">
      <alignment horizontal="right" vertical="center"/>
      <protection locked="0"/>
    </xf>
    <xf numFmtId="0" fontId="50" fillId="11" borderId="20" xfId="17" applyFont="1" applyFill="1" applyBorder="1" applyAlignment="1" applyProtection="1">
      <alignment horizontal="center" vertical="center"/>
      <protection locked="0"/>
    </xf>
    <xf numFmtId="166" fontId="52" fillId="2" borderId="1" xfId="18" applyNumberFormat="1" applyFont="1" applyFill="1" applyBorder="1" applyAlignment="1" applyProtection="1">
      <alignment horizontal="right" vertical="center"/>
      <protection locked="0"/>
    </xf>
    <xf numFmtId="0" fontId="51" fillId="11" borderId="20" xfId="17" applyFont="1" applyFill="1" applyBorder="1" applyProtection="1">
      <alignment vertical="center"/>
      <protection locked="0"/>
    </xf>
    <xf numFmtId="0" fontId="53" fillId="12" borderId="1" xfId="17" applyFont="1" applyFill="1" applyBorder="1" applyAlignment="1" applyProtection="1">
      <alignment horizontal="center" vertical="center"/>
      <protection locked="0"/>
    </xf>
    <xf numFmtId="0" fontId="56" fillId="12" borderId="1" xfId="17" applyFont="1" applyFill="1" applyBorder="1" applyAlignment="1" applyProtection="1">
      <alignment horizontal="center" vertical="center"/>
      <protection locked="0"/>
    </xf>
    <xf numFmtId="0" fontId="48" fillId="0" borderId="0" xfId="0" applyFont="1" applyAlignment="1">
      <alignment wrapText="1"/>
    </xf>
    <xf numFmtId="14" fontId="4" fillId="0" borderId="0" xfId="0" applyNumberFormat="1" applyFont="1"/>
    <xf numFmtId="0" fontId="4" fillId="2" borderId="63" xfId="0" applyFont="1" applyFill="1" applyBorder="1"/>
    <xf numFmtId="0" fontId="4" fillId="2" borderId="76" xfId="0" applyFont="1" applyFill="1" applyBorder="1" applyAlignment="1">
      <alignment wrapText="1"/>
    </xf>
    <xf numFmtId="0" fontId="4" fillId="2" borderId="18" xfId="0" applyFont="1" applyFill="1" applyBorder="1"/>
    <xf numFmtId="0" fontId="33" fillId="2" borderId="35" xfId="0" applyFont="1" applyFill="1" applyBorder="1" applyAlignment="1">
      <alignment horizontal="center" wrapText="1"/>
    </xf>
    <xf numFmtId="0" fontId="4" fillId="0" borderId="1" xfId="0" applyFont="1" applyBorder="1" applyAlignment="1">
      <alignment horizontal="center"/>
    </xf>
    <xf numFmtId="0" fontId="4" fillId="2" borderId="65" xfId="0" applyFont="1" applyFill="1" applyBorder="1"/>
    <xf numFmtId="0" fontId="33" fillId="2" borderId="0" xfId="0" applyFont="1" applyFill="1" applyAlignment="1">
      <alignment horizontal="center" wrapText="1"/>
    </xf>
    <xf numFmtId="0" fontId="4" fillId="2" borderId="0" xfId="0" applyFont="1" applyFill="1" applyAlignment="1">
      <alignment horizontal="center"/>
    </xf>
    <xf numFmtId="0" fontId="4" fillId="2" borderId="77" xfId="0" applyFont="1" applyFill="1" applyBorder="1" applyAlignment="1">
      <alignment horizontal="center" vertical="center" wrapText="1"/>
    </xf>
    <xf numFmtId="0" fontId="4" fillId="0" borderId="1" xfId="0" applyFont="1" applyBorder="1" applyAlignment="1">
      <alignment wrapText="1"/>
    </xf>
    <xf numFmtId="166" fontId="4" fillId="0" borderId="19" xfId="1" applyNumberFormat="1" applyFont="1" applyBorder="1"/>
    <xf numFmtId="0" fontId="49" fillId="0" borderId="1" xfId="0" applyFont="1" applyBorder="1" applyAlignment="1">
      <alignment horizontal="left" wrapText="1" indent="2"/>
    </xf>
    <xf numFmtId="164" fontId="18" fillId="4" borderId="1" xfId="6" applyBorder="1"/>
    <xf numFmtId="43" fontId="0" fillId="0" borderId="0" xfId="1" applyFont="1"/>
    <xf numFmtId="0" fontId="49" fillId="0" borderId="1" xfId="0" applyFont="1" applyBorder="1" applyAlignment="1">
      <alignment horizontal="left" vertical="top" wrapText="1" indent="2"/>
    </xf>
    <xf numFmtId="166" fontId="4" fillId="0" borderId="1" xfId="1" applyNumberFormat="1" applyFont="1" applyBorder="1" applyAlignment="1"/>
    <xf numFmtId="166" fontId="4" fillId="0" borderId="1" xfId="1" applyNumberFormat="1" applyFont="1" applyBorder="1" applyAlignment="1">
      <alignment vertical="top"/>
    </xf>
    <xf numFmtId="0" fontId="33" fillId="0" borderId="12" xfId="0" applyFont="1" applyBorder="1"/>
    <xf numFmtId="0" fontId="33" fillId="0" borderId="1" xfId="0" applyFont="1" applyBorder="1" applyAlignment="1">
      <alignment wrapText="1"/>
    </xf>
    <xf numFmtId="166" fontId="33" fillId="0" borderId="19" xfId="1" applyNumberFormat="1" applyFont="1" applyBorder="1"/>
    <xf numFmtId="0" fontId="3" fillId="2" borderId="65" xfId="0" applyFont="1" applyFill="1" applyBorder="1" applyAlignment="1">
      <alignment horizontal="left"/>
    </xf>
    <xf numFmtId="0" fontId="33" fillId="2" borderId="0" xfId="0" applyFont="1" applyFill="1" applyAlignment="1">
      <alignment horizontal="center"/>
    </xf>
    <xf numFmtId="166" fontId="4" fillId="2" borderId="0" xfId="1" applyNumberFormat="1" applyFont="1" applyFill="1" applyBorder="1"/>
    <xf numFmtId="166" fontId="4" fillId="2" borderId="0" xfId="1" applyNumberFormat="1" applyFont="1" applyFill="1" applyBorder="1" applyAlignment="1">
      <alignment vertical="center"/>
    </xf>
    <xf numFmtId="166" fontId="4" fillId="2" borderId="77" xfId="1" applyNumberFormat="1" applyFont="1" applyFill="1" applyBorder="1"/>
    <xf numFmtId="166" fontId="4" fillId="0" borderId="19" xfId="1" applyNumberFormat="1" applyFont="1" applyFill="1" applyBorder="1"/>
    <xf numFmtId="0" fontId="49" fillId="0" borderId="1" xfId="0" applyFont="1" applyBorder="1" applyAlignment="1">
      <alignment horizontal="left" wrapText="1" indent="4"/>
    </xf>
    <xf numFmtId="0" fontId="4" fillId="2" borderId="0" xfId="0" applyFont="1" applyFill="1" applyAlignment="1">
      <alignment wrapText="1"/>
    </xf>
    <xf numFmtId="0" fontId="4" fillId="2" borderId="0" xfId="0" applyFont="1" applyFill="1"/>
    <xf numFmtId="0" fontId="4" fillId="2" borderId="77" xfId="0" applyFont="1" applyFill="1" applyBorder="1"/>
    <xf numFmtId="0" fontId="33" fillId="0" borderId="26" xfId="0" applyFont="1" applyBorder="1"/>
    <xf numFmtId="0" fontId="33" fillId="0" borderId="27" xfId="0" applyFont="1" applyBorder="1" applyAlignment="1">
      <alignment wrapText="1"/>
    </xf>
    <xf numFmtId="164" fontId="18" fillId="4" borderId="39" xfId="6" applyBorder="1"/>
    <xf numFmtId="10" fontId="33" fillId="0" borderId="28" xfId="2" applyNumberFormat="1" applyFont="1" applyBorder="1"/>
    <xf numFmtId="0" fontId="57" fillId="0" borderId="0" xfId="5" applyFont="1"/>
    <xf numFmtId="0" fontId="58" fillId="0" borderId="0" xfId="0" applyFont="1"/>
    <xf numFmtId="14" fontId="58" fillId="0" borderId="0" xfId="0" applyNumberFormat="1" applyFont="1" applyAlignment="1">
      <alignment horizontal="left"/>
    </xf>
    <xf numFmtId="0" fontId="59" fillId="0" borderId="0" xfId="5" applyFont="1"/>
    <xf numFmtId="0" fontId="61" fillId="0" borderId="1" xfId="0" applyFont="1" applyBorder="1" applyAlignment="1">
      <alignment horizontal="center" vertical="center" wrapText="1"/>
    </xf>
    <xf numFmtId="49" fontId="62" fillId="2" borderId="1" xfId="13" applyNumberFormat="1" applyFont="1" applyFill="1" applyBorder="1" applyAlignment="1" applyProtection="1">
      <alignment horizontal="right" vertical="center"/>
      <protection locked="0"/>
    </xf>
    <xf numFmtId="0" fontId="62" fillId="2" borderId="1" xfId="11" applyFont="1" applyFill="1" applyBorder="1" applyAlignment="1" applyProtection="1">
      <alignment horizontal="left" vertical="center" wrapText="1"/>
      <protection locked="0"/>
    </xf>
    <xf numFmtId="43" fontId="58" fillId="0" borderId="1" xfId="1" applyFont="1" applyFill="1" applyBorder="1"/>
    <xf numFmtId="43" fontId="58" fillId="0" borderId="1" xfId="1" applyFont="1" applyBorder="1"/>
    <xf numFmtId="43" fontId="58" fillId="0" borderId="0" xfId="0" applyNumberFormat="1" applyFont="1"/>
    <xf numFmtId="0" fontId="63" fillId="0" borderId="0" xfId="0" applyFont="1" applyAlignment="1">
      <alignment horizontal="right"/>
    </xf>
    <xf numFmtId="49" fontId="62" fillId="0" borderId="1" xfId="13" applyNumberFormat="1" applyFont="1" applyBorder="1" applyAlignment="1" applyProtection="1">
      <alignment horizontal="right" vertical="center"/>
      <protection locked="0"/>
    </xf>
    <xf numFmtId="0" fontId="62" fillId="0" borderId="1" xfId="11" applyFont="1" applyBorder="1" applyAlignment="1" applyProtection="1">
      <alignment horizontal="left" vertical="center" wrapText="1"/>
      <protection locked="0"/>
    </xf>
    <xf numFmtId="3" fontId="63" fillId="0" borderId="0" xfId="0" applyNumberFormat="1" applyFont="1"/>
    <xf numFmtId="3" fontId="58" fillId="0" borderId="0" xfId="0" applyNumberFormat="1" applyFont="1"/>
    <xf numFmtId="0" fontId="64" fillId="0" borderId="1" xfId="11" applyFont="1" applyBorder="1" applyAlignment="1" applyProtection="1">
      <alignment horizontal="left" vertical="center" wrapText="1"/>
      <protection locked="0"/>
    </xf>
    <xf numFmtId="49" fontId="65" fillId="0" borderId="1" xfId="13" applyNumberFormat="1" applyFont="1" applyBorder="1" applyAlignment="1" applyProtection="1">
      <alignment horizontal="right" vertical="center"/>
      <protection locked="0"/>
    </xf>
    <xf numFmtId="0" fontId="61" fillId="0" borderId="1" xfId="0" applyFont="1" applyBorder="1"/>
    <xf numFmtId="0" fontId="58" fillId="0" borderId="0" xfId="0" applyFont="1" applyAlignment="1">
      <alignment horizontal="left" vertical="top" wrapText="1"/>
    </xf>
    <xf numFmtId="0" fontId="57" fillId="0" borderId="0" xfId="0" applyFont="1"/>
    <xf numFmtId="0" fontId="57" fillId="0" borderId="0" xfId="0" applyFont="1" applyAlignment="1">
      <alignment wrapText="1"/>
    </xf>
    <xf numFmtId="0" fontId="57" fillId="0" borderId="1" xfId="0" applyFont="1" applyBorder="1" applyAlignment="1">
      <alignment horizontal="center" vertical="center"/>
    </xf>
    <xf numFmtId="0" fontId="57" fillId="0" borderId="1"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29" xfId="0" applyFont="1" applyBorder="1" applyAlignment="1">
      <alignment horizontal="center" vertical="center" wrapText="1"/>
    </xf>
    <xf numFmtId="49" fontId="62" fillId="2" borderId="1" xfId="13" applyNumberFormat="1" applyFont="1" applyFill="1" applyBorder="1" applyAlignment="1" applyProtection="1">
      <alignment horizontal="right" vertical="center" wrapText="1"/>
      <protection locked="0"/>
    </xf>
    <xf numFmtId="43" fontId="57" fillId="0" borderId="1" xfId="1" applyFont="1" applyBorder="1"/>
    <xf numFmtId="43" fontId="57" fillId="0" borderId="1" xfId="1" applyFont="1" applyFill="1" applyBorder="1"/>
    <xf numFmtId="0" fontId="57" fillId="0" borderId="1" xfId="0" applyFont="1" applyBorder="1"/>
    <xf numFmtId="43" fontId="57" fillId="0" borderId="1" xfId="1" applyFont="1" applyBorder="1" applyAlignment="1">
      <alignment horizontal="right"/>
    </xf>
    <xf numFmtId="49" fontId="62" fillId="0" borderId="1" xfId="13" applyNumberFormat="1" applyFont="1" applyBorder="1" applyAlignment="1" applyProtection="1">
      <alignment horizontal="right" vertical="center" wrapText="1"/>
      <protection locked="0"/>
    </xf>
    <xf numFmtId="43" fontId="57" fillId="0" borderId="1" xfId="1" applyFont="1" applyFill="1" applyBorder="1" applyAlignment="1">
      <alignment horizontal="right"/>
    </xf>
    <xf numFmtId="49" fontId="65" fillId="0" borderId="1" xfId="13" applyNumberFormat="1" applyFont="1" applyBorder="1" applyAlignment="1" applyProtection="1">
      <alignment horizontal="right" vertical="center" wrapText="1"/>
      <protection locked="0"/>
    </xf>
    <xf numFmtId="0" fontId="60" fillId="0" borderId="1" xfId="0" applyFont="1" applyBorder="1"/>
    <xf numFmtId="43" fontId="60" fillId="0" borderId="1" xfId="1" applyFont="1" applyBorder="1" applyAlignment="1">
      <alignment horizontal="right"/>
    </xf>
    <xf numFmtId="0" fontId="61" fillId="0" borderId="0" xfId="0" applyFont="1"/>
    <xf numFmtId="0" fontId="57" fillId="0" borderId="1" xfId="0" applyFont="1" applyBorder="1" applyAlignment="1">
      <alignment wrapText="1"/>
    </xf>
    <xf numFmtId="0" fontId="57" fillId="0" borderId="1" xfId="0" applyFont="1" applyBorder="1" applyAlignment="1">
      <alignment horizontal="left" indent="8"/>
    </xf>
    <xf numFmtId="0" fontId="58" fillId="0" borderId="0" xfId="0" applyFont="1" applyAlignment="1">
      <alignment wrapText="1"/>
    </xf>
    <xf numFmtId="0" fontId="57" fillId="0" borderId="30" xfId="0" applyFont="1" applyBorder="1" applyAlignment="1">
      <alignment horizontal="center" vertical="center" wrapText="1"/>
    </xf>
    <xf numFmtId="0" fontId="57" fillId="0" borderId="1" xfId="0" applyFont="1" applyBorder="1" applyAlignment="1">
      <alignment horizontal="left" vertical="center" wrapText="1"/>
    </xf>
    <xf numFmtId="43" fontId="60" fillId="0" borderId="1" xfId="1" applyFont="1" applyBorder="1"/>
    <xf numFmtId="0" fontId="58" fillId="0" borderId="0" xfId="0" applyFont="1" applyAlignment="1">
      <alignment horizontal="left"/>
    </xf>
    <xf numFmtId="0" fontId="63" fillId="0" borderId="0" xfId="0" applyFont="1"/>
    <xf numFmtId="166" fontId="58" fillId="0" borderId="0" xfId="0" applyNumberFormat="1" applyFont="1"/>
    <xf numFmtId="0" fontId="60" fillId="0" borderId="1" xfId="0" applyFont="1" applyBorder="1" applyAlignment="1">
      <alignment horizontal="left" indent="1"/>
    </xf>
    <xf numFmtId="0" fontId="60" fillId="0" borderId="1" xfId="0" applyFont="1" applyBorder="1" applyAlignment="1">
      <alignment horizontal="left" wrapText="1" indent="1"/>
    </xf>
    <xf numFmtId="43" fontId="61" fillId="0" borderId="1" xfId="1" applyFont="1" applyBorder="1"/>
    <xf numFmtId="0" fontId="57" fillId="0" borderId="1" xfId="0" applyFont="1" applyBorder="1" applyAlignment="1">
      <alignment horizontal="left" indent="1"/>
    </xf>
    <xf numFmtId="0" fontId="57" fillId="0" borderId="1" xfId="0" applyFont="1" applyBorder="1" applyAlignment="1">
      <alignment horizontal="left" indent="3"/>
    </xf>
    <xf numFmtId="0" fontId="57" fillId="0" borderId="1" xfId="0" applyFont="1" applyBorder="1" applyAlignment="1">
      <alignment horizontal="left" wrapText="1" indent="4"/>
    </xf>
    <xf numFmtId="0" fontId="57" fillId="0" borderId="1" xfId="0" applyFont="1" applyBorder="1" applyAlignment="1">
      <alignment horizontal="left" wrapText="1" indent="1"/>
    </xf>
    <xf numFmtId="0" fontId="60" fillId="0" borderId="1" xfId="0" applyFont="1" applyBorder="1" applyAlignment="1">
      <alignment horizontal="left" vertical="center" indent="1"/>
    </xf>
    <xf numFmtId="0" fontId="60" fillId="0" borderId="1" xfId="0" applyFont="1" applyBorder="1" applyAlignment="1">
      <alignment horizontal="center" vertical="center" wrapText="1"/>
    </xf>
    <xf numFmtId="0" fontId="57" fillId="13" borderId="1" xfId="0" applyFont="1" applyFill="1" applyBorder="1"/>
    <xf numFmtId="0" fontId="57" fillId="0" borderId="1" xfId="0" applyFont="1" applyBorder="1" applyAlignment="1">
      <alignment horizontal="left" wrapText="1"/>
    </xf>
    <xf numFmtId="0" fontId="57" fillId="0" borderId="1" xfId="0" applyFont="1" applyBorder="1" applyAlignment="1">
      <alignment horizontal="left" wrapText="1" indent="2"/>
    </xf>
    <xf numFmtId="0" fontId="60" fillId="0" borderId="29" xfId="0" applyFont="1" applyBorder="1"/>
    <xf numFmtId="0" fontId="57" fillId="0" borderId="0" xfId="0" applyFont="1" applyAlignment="1">
      <alignment horizontal="center" vertical="center"/>
    </xf>
    <xf numFmtId="0" fontId="57" fillId="0" borderId="0" xfId="0" applyFont="1" applyAlignment="1">
      <alignment horizontal="center"/>
    </xf>
    <xf numFmtId="0" fontId="57" fillId="0" borderId="4"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0" xfId="0" applyFont="1" applyAlignment="1">
      <alignment horizontal="center" vertical="center" wrapText="1"/>
    </xf>
    <xf numFmtId="0" fontId="57" fillId="0" borderId="35" xfId="0" applyFont="1" applyBorder="1" applyAlignment="1">
      <alignment horizontal="center" vertical="center" wrapText="1"/>
    </xf>
    <xf numFmtId="0" fontId="57" fillId="0" borderId="29" xfId="0" applyFont="1" applyBorder="1" applyAlignment="1">
      <alignment wrapText="1"/>
    </xf>
    <xf numFmtId="0" fontId="57" fillId="0" borderId="15" xfId="0" applyFont="1" applyBorder="1" applyAlignment="1">
      <alignment wrapText="1"/>
    </xf>
    <xf numFmtId="0" fontId="57" fillId="0" borderId="1" xfId="0" applyFont="1" applyBorder="1" applyAlignment="1">
      <alignment horizontal="center"/>
    </xf>
    <xf numFmtId="14" fontId="57" fillId="0" borderId="0" xfId="0" applyNumberFormat="1" applyFont="1"/>
    <xf numFmtId="0" fontId="57" fillId="0" borderId="38" xfId="0" applyFont="1" applyBorder="1"/>
    <xf numFmtId="0" fontId="60" fillId="0" borderId="42" xfId="0" applyFont="1" applyBorder="1"/>
    <xf numFmtId="43" fontId="60" fillId="0" borderId="38" xfId="0" applyNumberFormat="1" applyFont="1" applyBorder="1"/>
    <xf numFmtId="0" fontId="57" fillId="0" borderId="19" xfId="0" applyFont="1" applyBorder="1"/>
    <xf numFmtId="0" fontId="57" fillId="0" borderId="12" xfId="0" applyFont="1" applyBorder="1" applyAlignment="1">
      <alignment horizontal="left" indent="1"/>
    </xf>
    <xf numFmtId="49" fontId="57" fillId="0" borderId="19" xfId="0" applyNumberFormat="1" applyFont="1" applyBorder="1" applyAlignment="1">
      <alignment horizontal="left" indent="1"/>
    </xf>
    <xf numFmtId="43" fontId="57" fillId="14" borderId="12" xfId="1" applyFont="1" applyFill="1" applyBorder="1"/>
    <xf numFmtId="0" fontId="57" fillId="14" borderId="1" xfId="0" applyFont="1" applyFill="1" applyBorder="1"/>
    <xf numFmtId="0" fontId="57" fillId="14" borderId="19" xfId="0" applyFont="1" applyFill="1" applyBorder="1"/>
    <xf numFmtId="49" fontId="57" fillId="0" borderId="12" xfId="0" applyNumberFormat="1" applyFont="1" applyBorder="1" applyAlignment="1">
      <alignment horizontal="left" wrapText="1" indent="2"/>
    </xf>
    <xf numFmtId="49" fontId="57" fillId="0" borderId="19" xfId="0" applyNumberFormat="1" applyFont="1" applyBorder="1" applyAlignment="1">
      <alignment horizontal="left" vertical="top" wrapText="1" indent="2"/>
    </xf>
    <xf numFmtId="43" fontId="57" fillId="0" borderId="12" xfId="1" applyFont="1" applyBorder="1" applyAlignment="1">
      <alignment horizontal="left" vertical="center" wrapText="1" indent="2"/>
    </xf>
    <xf numFmtId="49" fontId="57" fillId="0" borderId="12" xfId="0" applyNumberFormat="1" applyFont="1" applyBorder="1" applyAlignment="1">
      <alignment horizontal="left" wrapText="1" indent="3"/>
    </xf>
    <xf numFmtId="49" fontId="57" fillId="0" borderId="19" xfId="0" applyNumberFormat="1" applyFont="1" applyBorder="1" applyAlignment="1">
      <alignment horizontal="left" wrapText="1" indent="3"/>
    </xf>
    <xf numFmtId="49" fontId="57" fillId="0" borderId="19" xfId="0" applyNumberFormat="1" applyFont="1" applyBorder="1" applyAlignment="1">
      <alignment horizontal="left" wrapText="1" indent="2"/>
    </xf>
    <xf numFmtId="0" fontId="57" fillId="0" borderId="12" xfId="0" applyFont="1" applyBorder="1" applyAlignment="1">
      <alignment horizontal="left" wrapText="1" indent="1"/>
    </xf>
    <xf numFmtId="49" fontId="57" fillId="0" borderId="19" xfId="0" applyNumberFormat="1" applyFont="1" applyBorder="1" applyAlignment="1">
      <alignment horizontal="left" wrapText="1" indent="1"/>
    </xf>
    <xf numFmtId="43" fontId="57" fillId="0" borderId="12" xfId="1" applyFont="1" applyBorder="1" applyAlignment="1">
      <alignment horizontal="left" wrapText="1" indent="1"/>
    </xf>
    <xf numFmtId="0" fontId="57" fillId="0" borderId="26" xfId="0" applyFont="1" applyBorder="1" applyAlignment="1">
      <alignment horizontal="left" wrapText="1" indent="1"/>
    </xf>
    <xf numFmtId="49" fontId="57" fillId="0" borderId="28" xfId="0" applyNumberFormat="1" applyFont="1" applyBorder="1" applyAlignment="1">
      <alignment horizontal="left" wrapText="1" indent="1"/>
    </xf>
    <xf numFmtId="43" fontId="57" fillId="0" borderId="26" xfId="1" applyFont="1" applyBorder="1" applyAlignment="1">
      <alignment horizontal="left" wrapText="1" indent="1"/>
    </xf>
    <xf numFmtId="43" fontId="57" fillId="0" borderId="27" xfId="1" applyFont="1" applyBorder="1"/>
    <xf numFmtId="0" fontId="57" fillId="0" borderId="27" xfId="0" applyFont="1" applyBorder="1"/>
    <xf numFmtId="0" fontId="57" fillId="0" borderId="28" xfId="0" applyFont="1" applyBorder="1"/>
    <xf numFmtId="0" fontId="60" fillId="0" borderId="34" xfId="0" applyFont="1" applyBorder="1" applyAlignment="1">
      <alignment horizontal="left" vertical="center" wrapText="1"/>
    </xf>
    <xf numFmtId="43" fontId="57" fillId="0" borderId="1" xfId="1" applyFont="1" applyBorder="1" applyAlignment="1">
      <alignment horizontal="left" vertical="center" wrapText="1"/>
    </xf>
    <xf numFmtId="0" fontId="60" fillId="0" borderId="1" xfId="0" applyFont="1" applyBorder="1" applyAlignment="1">
      <alignment horizontal="left" vertical="center" wrapText="1"/>
    </xf>
    <xf numFmtId="43" fontId="60" fillId="0" borderId="1" xfId="0" applyNumberFormat="1" applyFont="1" applyBorder="1" applyAlignment="1">
      <alignment horizontal="left" vertical="center" wrapText="1"/>
    </xf>
    <xf numFmtId="0" fontId="62" fillId="0" borderId="0" xfId="0" applyFont="1"/>
    <xf numFmtId="0" fontId="62" fillId="0" borderId="0" xfId="0" applyFont="1" applyAlignment="1">
      <alignment horizontal="center" vertical="center"/>
    </xf>
    <xf numFmtId="0" fontId="68" fillId="0" borderId="0" xfId="0" applyFont="1"/>
    <xf numFmtId="0" fontId="69" fillId="0" borderId="0" xfId="0" applyFont="1"/>
    <xf numFmtId="43" fontId="68" fillId="0" borderId="0" xfId="0" applyNumberFormat="1" applyFont="1"/>
    <xf numFmtId="43" fontId="62" fillId="0" borderId="1" xfId="1" applyFont="1" applyBorder="1"/>
    <xf numFmtId="0" fontId="9" fillId="0" borderId="0" xfId="0" applyFont="1" applyAlignment="1">
      <alignment wrapText="1"/>
    </xf>
    <xf numFmtId="0" fontId="71" fillId="0" borderId="0" xfId="0" applyFont="1"/>
    <xf numFmtId="0" fontId="71" fillId="0" borderId="29" xfId="0" applyFont="1" applyBorder="1"/>
    <xf numFmtId="0" fontId="62" fillId="0" borderId="1" xfId="0" applyFont="1" applyBorder="1" applyAlignment="1">
      <alignment horizontal="left" indent="2"/>
    </xf>
    <xf numFmtId="0" fontId="57" fillId="0" borderId="89" xfId="0" applyFont="1" applyBorder="1" applyAlignment="1">
      <alignment vertical="center" wrapText="1" readingOrder="1"/>
    </xf>
    <xf numFmtId="43" fontId="62" fillId="0" borderId="1" xfId="0" applyNumberFormat="1" applyFont="1" applyBorder="1"/>
    <xf numFmtId="0" fontId="62" fillId="0" borderId="1" xfId="0" applyFont="1" applyBorder="1"/>
    <xf numFmtId="9" fontId="62" fillId="0" borderId="1" xfId="0" applyNumberFormat="1" applyFont="1" applyBorder="1"/>
    <xf numFmtId="0" fontId="57" fillId="0" borderId="90" xfId="0" applyFont="1" applyBorder="1" applyAlignment="1">
      <alignment vertical="center" wrapText="1" readingOrder="1"/>
    </xf>
    <xf numFmtId="43" fontId="62" fillId="0" borderId="1" xfId="1" applyFont="1" applyFill="1" applyBorder="1"/>
    <xf numFmtId="0" fontId="71" fillId="8" borderId="0" xfId="0" applyFont="1" applyFill="1"/>
    <xf numFmtId="0" fontId="62" fillId="0" borderId="2" xfId="0" applyFont="1" applyBorder="1" applyAlignment="1">
      <alignment horizontal="left" indent="2"/>
    </xf>
    <xf numFmtId="0" fontId="57" fillId="0" borderId="91" xfId="0" applyFont="1" applyBorder="1" applyAlignment="1">
      <alignment vertical="center" wrapText="1" readingOrder="1"/>
    </xf>
    <xf numFmtId="43" fontId="62" fillId="0" borderId="2" xfId="1" applyFont="1" applyBorder="1"/>
    <xf numFmtId="0" fontId="62" fillId="0" borderId="2" xfId="0" applyFont="1" applyBorder="1"/>
    <xf numFmtId="9" fontId="62" fillId="0" borderId="2" xfId="0" applyNumberFormat="1" applyFont="1" applyBorder="1"/>
    <xf numFmtId="0" fontId="60" fillId="0" borderId="1" xfId="0" applyFont="1" applyBorder="1" applyAlignment="1">
      <alignment vertical="center" wrapText="1" readingOrder="1"/>
    </xf>
    <xf numFmtId="0" fontId="62" fillId="0" borderId="1" xfId="0" applyFont="1" applyBorder="1" applyAlignment="1">
      <alignment horizontal="left" indent="3"/>
    </xf>
    <xf numFmtId="0" fontId="57" fillId="0" borderId="90" xfId="0" applyFont="1" applyBorder="1" applyAlignment="1">
      <alignment horizontal="left" vertical="center" wrapText="1" indent="1" readingOrder="1"/>
    </xf>
    <xf numFmtId="167" fontId="9" fillId="6" borderId="1" xfId="2" applyNumberFormat="1" applyFont="1" applyFill="1" applyBorder="1" applyAlignment="1" applyProtection="1">
      <alignment vertical="center"/>
      <protection locked="0"/>
    </xf>
    <xf numFmtId="166" fontId="2" fillId="0" borderId="0" xfId="1" applyNumberFormat="1" applyFont="1" applyFill="1"/>
    <xf numFmtId="166" fontId="2" fillId="0" borderId="0" xfId="1" applyNumberFormat="1" applyFont="1" applyFill="1" applyAlignment="1">
      <alignment wrapText="1"/>
    </xf>
    <xf numFmtId="0" fontId="8" fillId="0" borderId="1" xfId="11" applyFont="1" applyBorder="1" applyAlignment="1" applyProtection="1">
      <alignment vertical="center" wrapText="1"/>
      <protection locked="0"/>
    </xf>
    <xf numFmtId="166" fontId="21" fillId="0" borderId="0" xfId="1" applyNumberFormat="1" applyFont="1" applyFill="1"/>
    <xf numFmtId="165" fontId="4" fillId="0" borderId="0" xfId="0" applyNumberFormat="1" applyFont="1"/>
    <xf numFmtId="3" fontId="4" fillId="0" borderId="0" xfId="0" applyNumberFormat="1" applyFont="1"/>
    <xf numFmtId="38" fontId="4" fillId="0" borderId="0" xfId="0" applyNumberFormat="1" applyFont="1"/>
    <xf numFmtId="166" fontId="41" fillId="0" borderId="0" xfId="1" applyNumberFormat="1" applyFont="1" applyFill="1"/>
    <xf numFmtId="166" fontId="37" fillId="0" borderId="0" xfId="1" applyNumberFormat="1" applyFont="1" applyFill="1"/>
    <xf numFmtId="168" fontId="52" fillId="0" borderId="1" xfId="18" applyNumberFormat="1" applyFont="1" applyFill="1" applyBorder="1" applyAlignment="1" applyProtection="1">
      <alignment horizontal="right" vertical="center"/>
      <protection locked="0"/>
    </xf>
    <xf numFmtId="166" fontId="2" fillId="0" borderId="0" xfId="0" applyNumberFormat="1" applyFont="1"/>
    <xf numFmtId="166" fontId="66" fillId="0" borderId="0" xfId="1" applyNumberFormat="1" applyFont="1" applyFill="1"/>
    <xf numFmtId="2" fontId="58" fillId="0" borderId="0" xfId="0" applyNumberFormat="1" applyFont="1"/>
    <xf numFmtId="170" fontId="58" fillId="0" borderId="0" xfId="0" applyNumberFormat="1" applyFont="1"/>
    <xf numFmtId="43" fontId="63" fillId="0" borderId="0" xfId="0" applyNumberFormat="1" applyFont="1"/>
    <xf numFmtId="166" fontId="63" fillId="0" borderId="0" xfId="1" applyNumberFormat="1" applyFont="1" applyFill="1"/>
    <xf numFmtId="43" fontId="61" fillId="0" borderId="0" xfId="1" applyFont="1" applyFill="1"/>
    <xf numFmtId="43" fontId="58" fillId="0" borderId="0" xfId="1" applyFont="1" applyFill="1"/>
    <xf numFmtId="166" fontId="63" fillId="0" borderId="0" xfId="1" applyNumberFormat="1" applyFont="1" applyFill="1" applyBorder="1"/>
    <xf numFmtId="0" fontId="64" fillId="0" borderId="0" xfId="11" applyFont="1" applyAlignment="1" applyProtection="1">
      <alignment horizontal="left" vertical="center" wrapText="1"/>
      <protection locked="0"/>
    </xf>
    <xf numFmtId="43" fontId="61" fillId="0" borderId="0" xfId="1" applyFont="1" applyFill="1" applyBorder="1"/>
    <xf numFmtId="43" fontId="58" fillId="0" borderId="0" xfId="1" applyFont="1" applyFill="1" applyBorder="1"/>
    <xf numFmtId="43" fontId="57" fillId="7" borderId="1" xfId="1" applyFont="1" applyFill="1" applyBorder="1"/>
    <xf numFmtId="43" fontId="57" fillId="0" borderId="0" xfId="1" applyFont="1" applyFill="1"/>
    <xf numFmtId="43" fontId="66" fillId="0" borderId="0" xfId="0" applyNumberFormat="1" applyFont="1"/>
    <xf numFmtId="43" fontId="57" fillId="0" borderId="1" xfId="1" applyFont="1" applyFill="1" applyBorder="1" applyAlignment="1">
      <alignment horizontal="left" indent="1"/>
    </xf>
    <xf numFmtId="49" fontId="57" fillId="0" borderId="12" xfId="0" applyNumberFormat="1" applyFont="1" applyBorder="1" applyAlignment="1">
      <alignment horizontal="left" indent="1"/>
    </xf>
    <xf numFmtId="43" fontId="57" fillId="0" borderId="12" xfId="1" applyFont="1" applyFill="1" applyBorder="1" applyAlignment="1">
      <alignment horizontal="left" indent="1"/>
    </xf>
    <xf numFmtId="0" fontId="57" fillId="0" borderId="19" xfId="0" applyFont="1" applyBorder="1" applyAlignment="1">
      <alignment horizontal="left" indent="1"/>
    </xf>
    <xf numFmtId="0" fontId="57" fillId="0" borderId="12" xfId="0" applyFont="1" applyBorder="1" applyAlignment="1">
      <alignment horizontal="left" indent="2"/>
    </xf>
    <xf numFmtId="0" fontId="57" fillId="0" borderId="19" xfId="0" applyFont="1" applyBorder="1" applyAlignment="1">
      <alignment horizontal="left" indent="2"/>
    </xf>
    <xf numFmtId="43" fontId="57" fillId="0" borderId="12" xfId="1" applyFont="1" applyFill="1" applyBorder="1" applyAlignment="1">
      <alignment horizontal="right" indent="2"/>
    </xf>
    <xf numFmtId="49" fontId="57" fillId="0" borderId="12" xfId="0" applyNumberFormat="1" applyFont="1" applyBorder="1" applyAlignment="1">
      <alignment horizontal="left" indent="3"/>
    </xf>
    <xf numFmtId="49" fontId="57" fillId="0" borderId="19" xfId="0" applyNumberFormat="1" applyFont="1" applyBorder="1" applyAlignment="1">
      <alignment horizontal="left" indent="3"/>
    </xf>
    <xf numFmtId="43" fontId="57" fillId="0" borderId="12" xfId="1" applyFont="1" applyFill="1" applyBorder="1" applyAlignment="1">
      <alignment horizontal="left" indent="3"/>
    </xf>
    <xf numFmtId="166" fontId="68" fillId="0" borderId="0" xfId="1" applyNumberFormat="1" applyFont="1" applyFill="1"/>
    <xf numFmtId="10" fontId="9" fillId="0" borderId="27" xfId="2" applyNumberFormat="1" applyFont="1" applyFill="1" applyBorder="1" applyAlignment="1" applyProtection="1">
      <alignment vertical="center"/>
      <protection locked="0"/>
    </xf>
    <xf numFmtId="166" fontId="45" fillId="0" borderId="56" xfId="1" applyNumberFormat="1" applyFont="1" applyBorder="1" applyAlignment="1">
      <alignment vertical="center"/>
    </xf>
    <xf numFmtId="166" fontId="44" fillId="0" borderId="52" xfId="1" applyNumberFormat="1" applyFont="1" applyBorder="1" applyAlignment="1">
      <alignment vertical="center"/>
    </xf>
    <xf numFmtId="166" fontId="7" fillId="0" borderId="54" xfId="1" applyNumberFormat="1" applyFont="1" applyBorder="1" applyAlignment="1">
      <alignment vertical="center"/>
    </xf>
    <xf numFmtId="166" fontId="12" fillId="0" borderId="54" xfId="1" applyNumberFormat="1" applyFont="1" applyBorder="1" applyAlignment="1">
      <alignment vertical="center"/>
    </xf>
    <xf numFmtId="166" fontId="44" fillId="0" borderId="54" xfId="1" applyNumberFormat="1" applyFont="1" applyBorder="1" applyAlignment="1">
      <alignment vertical="center"/>
    </xf>
    <xf numFmtId="166" fontId="45" fillId="0" borderId="54" xfId="1" applyNumberFormat="1" applyFont="1" applyBorder="1" applyAlignment="1">
      <alignment vertical="center"/>
    </xf>
    <xf numFmtId="166" fontId="7" fillId="0" borderId="56" xfId="1" applyNumberFormat="1" applyFont="1" applyBorder="1" applyAlignment="1">
      <alignment vertical="center"/>
    </xf>
    <xf numFmtId="166" fontId="44" fillId="0" borderId="59" xfId="1" applyNumberFormat="1" applyFont="1" applyBorder="1" applyAlignment="1">
      <alignment vertical="center"/>
    </xf>
    <xf numFmtId="166" fontId="44" fillId="0" borderId="56" xfId="1" applyNumberFormat="1" applyFont="1" applyBorder="1" applyAlignment="1">
      <alignment vertical="center"/>
    </xf>
    <xf numFmtId="166" fontId="44" fillId="0" borderId="62" xfId="1" applyNumberFormat="1" applyFont="1" applyBorder="1" applyAlignment="1">
      <alignment vertical="center"/>
    </xf>
    <xf numFmtId="166" fontId="44" fillId="0" borderId="1" xfId="1" applyNumberFormat="1" applyFont="1" applyBorder="1" applyAlignment="1"/>
    <xf numFmtId="166" fontId="7" fillId="0" borderId="1" xfId="1" applyNumberFormat="1" applyFont="1" applyBorder="1" applyAlignment="1"/>
    <xf numFmtId="166" fontId="7" fillId="0" borderId="1" xfId="1" applyNumberFormat="1" applyFont="1" applyFill="1" applyBorder="1" applyAlignment="1"/>
    <xf numFmtId="166" fontId="44" fillId="0" borderId="1" xfId="1" applyNumberFormat="1" applyFont="1" applyBorder="1" applyAlignment="1">
      <alignment vertical="center"/>
    </xf>
    <xf numFmtId="166" fontId="7" fillId="0" borderId="1" xfId="1" applyNumberFormat="1" applyFont="1" applyBorder="1" applyAlignment="1">
      <alignment vertical="center"/>
    </xf>
    <xf numFmtId="166" fontId="4" fillId="0" borderId="20" xfId="1" applyNumberFormat="1" applyFont="1" applyBorder="1" applyAlignment="1"/>
    <xf numFmtId="166" fontId="4" fillId="0" borderId="21" xfId="1" applyNumberFormat="1" applyFont="1" applyBorder="1" applyAlignment="1"/>
    <xf numFmtId="166" fontId="4" fillId="0" borderId="30" xfId="1" applyNumberFormat="1" applyFont="1" applyBorder="1" applyAlignment="1"/>
    <xf numFmtId="10" fontId="52" fillId="9" borderId="1" xfId="2" applyNumberFormat="1" applyFont="1" applyFill="1" applyBorder="1" applyAlignment="1" applyProtection="1">
      <alignment horizontal="right"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164" fontId="18" fillId="5" borderId="23" xfId="6" applyFill="1" applyBorder="1" applyAlignment="1">
      <alignment horizontal="center"/>
    </xf>
    <xf numFmtId="164" fontId="18" fillId="5" borderId="21" xfId="6" applyFill="1" applyBorder="1" applyAlignment="1">
      <alignment horizontal="center"/>
    </xf>
    <xf numFmtId="164" fontId="18" fillId="5" borderId="22" xfId="6" applyFill="1" applyBorder="1" applyAlignment="1">
      <alignment horizontal="center"/>
    </xf>
    <xf numFmtId="164" fontId="18" fillId="5" borderId="14" xfId="6" applyFill="1" applyBorder="1" applyAlignment="1">
      <alignment horizontal="center"/>
    </xf>
    <xf numFmtId="164" fontId="18" fillId="5" borderId="4" xfId="6" applyFill="1" applyBorder="1" applyAlignment="1">
      <alignment horizontal="center"/>
    </xf>
    <xf numFmtId="164" fontId="18" fillId="5" borderId="13" xfId="6" applyFill="1" applyBorder="1" applyAlignment="1">
      <alignment horizontal="center"/>
    </xf>
    <xf numFmtId="164" fontId="18" fillId="5" borderId="18" xfId="6" applyFill="1" applyBorder="1" applyAlignment="1">
      <alignment horizontal="center"/>
    </xf>
    <xf numFmtId="164" fontId="18" fillId="5" borderId="16" xfId="6" applyFill="1" applyBorder="1" applyAlignment="1">
      <alignment horizontal="center"/>
    </xf>
    <xf numFmtId="164" fontId="18" fillId="5" borderId="17" xfId="6" applyFill="1" applyBorder="1" applyAlignment="1">
      <alignment horizontal="center"/>
    </xf>
    <xf numFmtId="0" fontId="17" fillId="3" borderId="6" xfId="0" applyFont="1" applyFill="1" applyBorder="1" applyAlignment="1">
      <alignment horizontal="center" wrapText="1"/>
    </xf>
    <xf numFmtId="0" fontId="17" fillId="3" borderId="7" xfId="0" applyFont="1" applyFill="1" applyBorder="1" applyAlignment="1">
      <alignment horizontal="center" wrapText="1"/>
    </xf>
    <xf numFmtId="0" fontId="17" fillId="3" borderId="8" xfId="0" applyFont="1" applyFill="1" applyBorder="1" applyAlignment="1">
      <alignment horizontal="center" wrapText="1"/>
    </xf>
    <xf numFmtId="9" fontId="18" fillId="5" borderId="20" xfId="6" applyNumberFormat="1" applyFill="1" applyBorder="1" applyAlignment="1">
      <alignment horizontal="center"/>
    </xf>
    <xf numFmtId="9" fontId="18" fillId="5" borderId="21" xfId="6" applyNumberFormat="1" applyFill="1" applyBorder="1" applyAlignment="1">
      <alignment horizontal="center"/>
    </xf>
    <xf numFmtId="9" fontId="18" fillId="5" borderId="22" xfId="6" applyNumberFormat="1" applyFill="1" applyBorder="1" applyAlignment="1">
      <alignment horizontal="center"/>
    </xf>
    <xf numFmtId="164" fontId="18" fillId="5" borderId="20" xfId="6" applyFill="1" applyBorder="1" applyAlignment="1">
      <alignment horizontal="center"/>
    </xf>
    <xf numFmtId="164" fontId="18" fillId="5" borderId="3" xfId="6" applyFill="1" applyBorder="1" applyAlignment="1">
      <alignment horizontal="center"/>
    </xf>
    <xf numFmtId="164" fontId="18" fillId="5" borderId="15" xfId="6" applyFill="1" applyBorder="1" applyAlignment="1">
      <alignment horizont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0" fillId="0" borderId="1" xfId="0" applyBorder="1" applyAlignment="1">
      <alignment horizontal="center" vertical="center"/>
    </xf>
    <xf numFmtId="0" fontId="22" fillId="0" borderId="2" xfId="0" applyFont="1" applyBorder="1" applyAlignment="1">
      <alignment horizontal="center" vertical="center"/>
    </xf>
    <xf numFmtId="0" fontId="22" fillId="0" borderId="29" xfId="0" applyFont="1" applyBorder="1" applyAlignment="1">
      <alignment horizontal="center" vertical="center"/>
    </xf>
    <xf numFmtId="166" fontId="14" fillId="0" borderId="10" xfId="1" applyNumberFormat="1" applyFont="1" applyBorder="1" applyAlignment="1">
      <alignment horizontal="center" vertical="center"/>
    </xf>
    <xf numFmtId="166" fontId="14" fillId="0" borderId="11" xfId="1" applyNumberFormat="1" applyFont="1" applyBorder="1" applyAlignment="1">
      <alignment horizontal="center" vertical="center"/>
    </xf>
    <xf numFmtId="166" fontId="0" fillId="0" borderId="20" xfId="1" applyNumberFormat="1" applyFont="1" applyBorder="1" applyAlignment="1">
      <alignment horizontal="center"/>
    </xf>
    <xf numFmtId="166" fontId="0" fillId="0" borderId="21" xfId="1" applyNumberFormat="1" applyFont="1" applyBorder="1" applyAlignment="1">
      <alignment horizontal="center"/>
    </xf>
    <xf numFmtId="166" fontId="0" fillId="0" borderId="30" xfId="1" applyNumberFormat="1" applyFont="1" applyBorder="1" applyAlignment="1">
      <alignment horizontal="center"/>
    </xf>
    <xf numFmtId="0" fontId="0" fillId="0" borderId="34" xfId="0" applyBorder="1" applyAlignment="1">
      <alignment horizontal="center" vertical="center"/>
    </xf>
    <xf numFmtId="0" fontId="0" fillId="0" borderId="35" xfId="0" applyBorder="1" applyAlignment="1">
      <alignment horizontal="center" vertical="center"/>
    </xf>
    <xf numFmtId="0" fontId="22" fillId="0" borderId="2" xfId="0" applyFont="1" applyBorder="1" applyAlignment="1">
      <alignment horizontal="center" vertical="center" wrapText="1"/>
    </xf>
    <xf numFmtId="0" fontId="22" fillId="0" borderId="29" xfId="0" applyFont="1" applyBorder="1" applyAlignment="1">
      <alignment horizontal="center" vertical="center" wrapText="1"/>
    </xf>
    <xf numFmtId="0" fontId="14" fillId="0" borderId="1" xfId="0" applyFont="1" applyBorder="1" applyAlignment="1">
      <alignment horizontal="center" vertical="center"/>
    </xf>
    <xf numFmtId="0" fontId="0" fillId="0" borderId="1" xfId="0" applyBorder="1" applyAlignment="1">
      <alignment horizontal="center" vertical="center" wrapText="1"/>
    </xf>
    <xf numFmtId="0" fontId="14" fillId="0" borderId="10" xfId="0" applyFont="1" applyBorder="1" applyAlignment="1">
      <alignment horizontal="center"/>
    </xf>
    <xf numFmtId="0" fontId="14" fillId="0" borderId="11" xfId="0" applyFont="1" applyBorder="1" applyAlignment="1">
      <alignment horizontal="center"/>
    </xf>
    <xf numFmtId="0" fontId="14" fillId="0" borderId="5" xfId="0" applyFont="1" applyBorder="1" applyAlignment="1">
      <alignment horizontal="center" wrapText="1"/>
    </xf>
    <xf numFmtId="0" fontId="39" fillId="0" borderId="1" xfId="0" applyFont="1" applyBorder="1" applyAlignment="1">
      <alignment wrapText="1"/>
    </xf>
    <xf numFmtId="0" fontId="4" fillId="0" borderId="19" xfId="0" applyFont="1" applyBorder="1"/>
    <xf numFmtId="0" fontId="14" fillId="0" borderId="20" xfId="0" applyFont="1" applyBorder="1" applyAlignment="1">
      <alignment horizontal="center" vertical="center" wrapText="1"/>
    </xf>
    <xf numFmtId="0" fontId="14" fillId="0" borderId="2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0" xfId="0" applyFont="1" applyBorder="1" applyAlignment="1">
      <alignment horizontal="center"/>
    </xf>
    <xf numFmtId="0" fontId="4" fillId="0" borderId="22" xfId="0" applyFont="1" applyBorder="1" applyAlignment="1">
      <alignment horizontal="center"/>
    </xf>
    <xf numFmtId="0" fontId="33" fillId="7" borderId="47" xfId="0" applyFont="1" applyFill="1" applyBorder="1" applyAlignment="1">
      <alignment horizontal="center" vertical="center" wrapText="1"/>
    </xf>
    <xf numFmtId="0" fontId="33" fillId="7" borderId="48" xfId="0" applyFont="1" applyFill="1" applyBorder="1" applyAlignment="1">
      <alignment horizontal="center" vertical="center" wrapText="1"/>
    </xf>
    <xf numFmtId="0" fontId="33" fillId="7" borderId="23" xfId="0" applyFont="1" applyFill="1" applyBorder="1" applyAlignment="1">
      <alignment horizontal="center" vertical="center" wrapText="1"/>
    </xf>
    <xf numFmtId="0" fontId="33" fillId="7" borderId="30" xfId="0" applyFont="1" applyFill="1" applyBorder="1" applyAlignment="1">
      <alignment horizontal="center" vertical="center" wrapText="1"/>
    </xf>
    <xf numFmtId="9" fontId="4" fillId="0" borderId="20" xfId="0" applyNumberFormat="1" applyFont="1" applyBorder="1" applyAlignment="1">
      <alignment horizontal="center" vertical="center"/>
    </xf>
    <xf numFmtId="9" fontId="4" fillId="0" borderId="30" xfId="0" applyNumberFormat="1" applyFont="1" applyBorder="1" applyAlignment="1">
      <alignment horizontal="center" vertical="center"/>
    </xf>
    <xf numFmtId="0" fontId="47" fillId="2" borderId="25" xfId="11" applyFont="1" applyFill="1" applyBorder="1" applyAlignment="1" applyProtection="1">
      <alignment horizontal="center" vertical="center" wrapText="1"/>
      <protection locked="0"/>
    </xf>
    <xf numFmtId="0" fontId="47" fillId="2" borderId="42" xfId="1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29" xfId="0" applyFont="1" applyBorder="1" applyAlignment="1">
      <alignment horizontal="center" vertical="center" wrapText="1"/>
    </xf>
    <xf numFmtId="166" fontId="15" fillId="2" borderId="9" xfId="15" applyNumberFormat="1" applyFont="1" applyFill="1" applyBorder="1" applyAlignment="1" applyProtection="1">
      <alignment horizontal="center"/>
      <protection locked="0"/>
    </xf>
    <xf numFmtId="166" fontId="15" fillId="2" borderId="10" xfId="15" applyNumberFormat="1" applyFont="1" applyFill="1" applyBorder="1" applyAlignment="1" applyProtection="1">
      <alignment horizontal="center"/>
      <protection locked="0"/>
    </xf>
    <xf numFmtId="166" fontId="15" fillId="2" borderId="11" xfId="15" applyNumberFormat="1" applyFont="1" applyFill="1" applyBorder="1" applyAlignment="1" applyProtection="1">
      <alignment horizontal="center"/>
      <protection locked="0"/>
    </xf>
    <xf numFmtId="166" fontId="15" fillId="0" borderId="66" xfId="15" applyNumberFormat="1" applyFont="1" applyFill="1" applyBorder="1" applyAlignment="1" applyProtection="1">
      <alignment horizontal="center" vertical="center" wrapText="1"/>
      <protection locked="0"/>
    </xf>
    <xf numFmtId="166" fontId="15" fillId="0" borderId="68" xfId="15" applyNumberFormat="1" applyFont="1" applyFill="1" applyBorder="1" applyAlignment="1" applyProtection="1">
      <alignment horizontal="center" vertical="center" wrapText="1"/>
      <protection locked="0"/>
    </xf>
    <xf numFmtId="0" fontId="33" fillId="0" borderId="67" xfId="0" applyFont="1" applyBorder="1" applyAlignment="1">
      <alignment horizontal="center" vertical="center" wrapText="1"/>
    </xf>
    <xf numFmtId="0" fontId="33" fillId="0" borderId="69" xfId="0" applyFont="1" applyBorder="1" applyAlignment="1">
      <alignment horizontal="center" vertical="center" wrapText="1"/>
    </xf>
    <xf numFmtId="0" fontId="4" fillId="0" borderId="20" xfId="0" applyFont="1" applyBorder="1" applyAlignment="1">
      <alignment horizontal="center" wrapText="1"/>
    </xf>
    <xf numFmtId="0" fontId="4" fillId="0" borderId="30" xfId="0" applyFont="1" applyBorder="1" applyAlignment="1">
      <alignment horizontal="center" wrapText="1"/>
    </xf>
    <xf numFmtId="0" fontId="4" fillId="0" borderId="25" xfId="0" applyFont="1" applyBorder="1" applyAlignment="1">
      <alignment horizontal="center" vertical="center" wrapText="1"/>
    </xf>
    <xf numFmtId="0" fontId="4" fillId="0" borderId="42" xfId="0" applyFont="1" applyBorder="1" applyAlignment="1">
      <alignment horizontal="center" vertical="center" wrapText="1"/>
    </xf>
    <xf numFmtId="0" fontId="49" fillId="0" borderId="63" xfId="0" applyFont="1" applyBorder="1" applyAlignment="1">
      <alignment horizontal="left" vertical="center"/>
    </xf>
    <xf numFmtId="0" fontId="49" fillId="0" borderId="64" xfId="0" applyFont="1" applyBorder="1" applyAlignment="1">
      <alignment horizontal="left" vertical="center"/>
    </xf>
    <xf numFmtId="0" fontId="4" fillId="0" borderId="64"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0" xfId="0" applyFont="1" applyBorder="1" applyAlignment="1">
      <alignment horizontal="center"/>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60" fillId="0" borderId="78" xfId="0" applyFont="1" applyBorder="1" applyAlignment="1">
      <alignment horizontal="left" vertical="center" wrapText="1"/>
    </xf>
    <xf numFmtId="0" fontId="60" fillId="0" borderId="79" xfId="0" applyFont="1" applyBorder="1" applyAlignment="1">
      <alignment horizontal="left" vertical="center" wrapText="1"/>
    </xf>
    <xf numFmtId="0" fontId="60" fillId="0" borderId="81" xfId="0" applyFont="1" applyBorder="1" applyAlignment="1">
      <alignment horizontal="left" vertical="center" wrapText="1"/>
    </xf>
    <xf numFmtId="0" fontId="60" fillId="0" borderId="82" xfId="0" applyFont="1" applyBorder="1" applyAlignment="1">
      <alignment horizontal="left" vertical="center" wrapText="1"/>
    </xf>
    <xf numFmtId="0" fontId="60" fillId="0" borderId="83" xfId="0" applyFont="1" applyBorder="1" applyAlignment="1">
      <alignment horizontal="left" vertical="center" wrapText="1"/>
    </xf>
    <xf numFmtId="0" fontId="60" fillId="0" borderId="84" xfId="0" applyFont="1" applyBorder="1" applyAlignment="1">
      <alignment horizontal="left" vertical="center" wrapText="1"/>
    </xf>
    <xf numFmtId="0" fontId="61" fillId="0" borderId="3" xfId="0" applyFont="1" applyBorder="1" applyAlignment="1">
      <alignment horizontal="center" vertical="center" wrapText="1"/>
    </xf>
    <xf numFmtId="0" fontId="61" fillId="0" borderId="4" xfId="0" applyFont="1" applyBorder="1" applyAlignment="1">
      <alignment horizontal="center" vertical="center" wrapText="1"/>
    </xf>
    <xf numFmtId="0" fontId="61" fillId="0" borderId="80"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16" xfId="0" applyFont="1" applyBorder="1" applyAlignment="1">
      <alignment horizontal="center" vertical="center" wrapText="1"/>
    </xf>
    <xf numFmtId="0" fontId="61" fillId="0" borderId="35" xfId="0" applyFont="1" applyBorder="1" applyAlignment="1">
      <alignment horizontal="center" vertical="center" wrapText="1"/>
    </xf>
    <xf numFmtId="0" fontId="57" fillId="0" borderId="1"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29" xfId="0" applyFont="1" applyBorder="1" applyAlignment="1">
      <alignment horizontal="center" vertical="center" wrapText="1"/>
    </xf>
    <xf numFmtId="0" fontId="57" fillId="0" borderId="20" xfId="0" applyFont="1" applyBorder="1" applyAlignment="1">
      <alignment horizontal="center" vertical="center" wrapText="1"/>
    </xf>
    <xf numFmtId="0" fontId="57" fillId="0" borderId="30" xfId="0" applyFont="1" applyBorder="1" applyAlignment="1">
      <alignment horizontal="center" vertical="center" wrapText="1"/>
    </xf>
    <xf numFmtId="0" fontId="67" fillId="0" borderId="1" xfId="0" applyFont="1" applyBorder="1" applyAlignment="1">
      <alignment horizontal="center" vertical="center"/>
    </xf>
    <xf numFmtId="0" fontId="59" fillId="0" borderId="3" xfId="0" applyFont="1" applyBorder="1" applyAlignment="1">
      <alignment horizontal="center" vertical="center"/>
    </xf>
    <xf numFmtId="0" fontId="59" fillId="0" borderId="80" xfId="0" applyFont="1" applyBorder="1" applyAlignment="1">
      <alignment horizontal="center" vertical="center"/>
    </xf>
    <xf numFmtId="0" fontId="59" fillId="0" borderId="15" xfId="0" applyFont="1" applyBorder="1" applyAlignment="1">
      <alignment horizontal="center" vertical="center"/>
    </xf>
    <xf numFmtId="0" fontId="59" fillId="0" borderId="35" xfId="0" applyFont="1" applyBorder="1" applyAlignment="1">
      <alignment horizontal="center" vertical="center"/>
    </xf>
    <xf numFmtId="0" fontId="60" fillId="0" borderId="1"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5" xfId="0" applyFont="1" applyBorder="1" applyAlignment="1">
      <alignment horizontal="center" vertical="center" wrapText="1"/>
    </xf>
    <xf numFmtId="0" fontId="60" fillId="0" borderId="34" xfId="0" applyFont="1" applyBorder="1" applyAlignment="1">
      <alignment horizontal="center" vertical="center" wrapText="1"/>
    </xf>
    <xf numFmtId="0" fontId="60" fillId="0" borderId="15" xfId="0" applyFont="1" applyBorder="1" applyAlignment="1">
      <alignment horizontal="center" vertical="center" wrapText="1"/>
    </xf>
    <xf numFmtId="0" fontId="60" fillId="0" borderId="35" xfId="0" applyFont="1" applyBorder="1" applyAlignment="1">
      <alignment horizontal="center" vertical="center" wrapText="1"/>
    </xf>
    <xf numFmtId="0" fontId="57" fillId="0" borderId="21" xfId="0" applyFont="1" applyBorder="1" applyAlignment="1">
      <alignment horizontal="center" vertical="center" wrapText="1"/>
    </xf>
    <xf numFmtId="0" fontId="60" fillId="0" borderId="37" xfId="0" applyFont="1" applyBorder="1" applyAlignment="1">
      <alignment horizontal="center" vertical="center" wrapText="1"/>
    </xf>
    <xf numFmtId="0" fontId="60" fillId="0" borderId="29" xfId="0" applyFont="1" applyBorder="1" applyAlignment="1">
      <alignment horizontal="center" vertical="center" wrapText="1"/>
    </xf>
    <xf numFmtId="0" fontId="57" fillId="0" borderId="37"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80" xfId="0" applyFont="1" applyBorder="1" applyAlignment="1">
      <alignment horizontal="center" vertical="center" wrapText="1"/>
    </xf>
    <xf numFmtId="0" fontId="57" fillId="0" borderId="35" xfId="0" applyFont="1" applyBorder="1" applyAlignment="1">
      <alignment horizontal="center" vertical="center" wrapText="1"/>
    </xf>
    <xf numFmtId="0" fontId="60" fillId="0" borderId="63" xfId="0" applyFont="1" applyBorder="1" applyAlignment="1">
      <alignment horizontal="left" vertical="top" wrapText="1"/>
    </xf>
    <xf numFmtId="0" fontId="60" fillId="0" borderId="71" xfId="0" applyFont="1" applyBorder="1" applyAlignment="1">
      <alignment horizontal="left" vertical="top" wrapText="1"/>
    </xf>
    <xf numFmtId="0" fontId="60" fillId="0" borderId="65" xfId="0" applyFont="1" applyBorder="1" applyAlignment="1">
      <alignment horizontal="left" vertical="top" wrapText="1"/>
    </xf>
    <xf numFmtId="0" fontId="60" fillId="0" borderId="77" xfId="0" applyFont="1" applyBorder="1" applyAlignment="1">
      <alignment horizontal="left" vertical="top" wrapText="1"/>
    </xf>
    <xf numFmtId="0" fontId="60" fillId="0" borderId="18" xfId="0" applyFont="1" applyBorder="1" applyAlignment="1">
      <alignment horizontal="left" vertical="top" wrapText="1"/>
    </xf>
    <xf numFmtId="0" fontId="60" fillId="0" borderId="17" xfId="0" applyFont="1" applyBorder="1" applyAlignment="1">
      <alignment horizontal="left" vertical="top" wrapText="1"/>
    </xf>
    <xf numFmtId="0" fontId="57" fillId="0" borderId="63" xfId="0" applyFont="1" applyBorder="1" applyAlignment="1">
      <alignment horizontal="center" vertical="center" wrapText="1"/>
    </xf>
    <xf numFmtId="0" fontId="57" fillId="0" borderId="64" xfId="0" applyFont="1" applyBorder="1" applyAlignment="1">
      <alignment horizontal="center" vertical="center" wrapText="1"/>
    </xf>
    <xf numFmtId="0" fontId="57" fillId="0" borderId="71"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38" xfId="0" applyFont="1" applyBorder="1" applyAlignment="1">
      <alignment horizontal="center" vertical="center" wrapText="1"/>
    </xf>
    <xf numFmtId="0" fontId="57" fillId="0" borderId="19" xfId="0" applyFont="1" applyBorder="1" applyAlignment="1">
      <alignment horizontal="center" vertical="center" wrapText="1"/>
    </xf>
    <xf numFmtId="0" fontId="57" fillId="0" borderId="3" xfId="0" applyFont="1" applyBorder="1" applyAlignment="1">
      <alignment horizontal="center" vertical="top" wrapText="1"/>
    </xf>
    <xf numFmtId="0" fontId="57" fillId="0" borderId="4" xfId="0" applyFont="1" applyBorder="1" applyAlignment="1">
      <alignment horizontal="center" vertical="top" wrapText="1"/>
    </xf>
    <xf numFmtId="0" fontId="57" fillId="0" borderId="21" xfId="0" applyFont="1" applyBorder="1" applyAlignment="1">
      <alignment horizontal="center" vertical="top" wrapText="1"/>
    </xf>
    <xf numFmtId="0" fontId="57" fillId="0" borderId="30" xfId="0" applyFont="1" applyBorder="1" applyAlignment="1">
      <alignment horizontal="center" vertical="top" wrapText="1"/>
    </xf>
    <xf numFmtId="0" fontId="70" fillId="0" borderId="87" xfId="0" applyFont="1" applyBorder="1" applyAlignment="1">
      <alignment horizontal="left" vertical="top" wrapText="1"/>
    </xf>
    <xf numFmtId="0" fontId="70" fillId="0" borderId="88" xfId="0" applyFont="1" applyBorder="1" applyAlignment="1">
      <alignment horizontal="left" vertical="top" wrapText="1"/>
    </xf>
    <xf numFmtId="0" fontId="62" fillId="0" borderId="1" xfId="0" applyFont="1" applyBorder="1" applyAlignment="1">
      <alignment horizontal="center" vertical="center" wrapText="1"/>
    </xf>
    <xf numFmtId="0" fontId="65" fillId="0" borderId="1" xfId="0" applyFont="1" applyBorder="1" applyAlignment="1">
      <alignment horizontal="center" vertical="center"/>
    </xf>
    <xf numFmtId="0" fontId="62" fillId="0" borderId="2" xfId="0" applyFont="1" applyBorder="1" applyAlignment="1">
      <alignment horizontal="center" vertical="center" wrapText="1"/>
    </xf>
    <xf numFmtId="169" fontId="0" fillId="0" borderId="0" xfId="0" applyNumberFormat="1"/>
    <xf numFmtId="166" fontId="7" fillId="0" borderId="0" xfId="0" applyNumberFormat="1" applyFont="1"/>
    <xf numFmtId="43" fontId="57" fillId="0" borderId="0" xfId="0" applyNumberFormat="1" applyFont="1"/>
    <xf numFmtId="0" fontId="9" fillId="0" borderId="12" xfId="0" applyFont="1" applyBorder="1" applyAlignment="1">
      <alignment vertical="top"/>
    </xf>
    <xf numFmtId="43" fontId="33" fillId="7" borderId="19" xfId="1" applyFont="1" applyFill="1" applyBorder="1" applyAlignment="1">
      <alignment horizontal="center" vertical="center" wrapText="1"/>
    </xf>
    <xf numFmtId="43" fontId="4" fillId="0" borderId="19" xfId="1" applyFont="1" applyBorder="1" applyAlignment="1">
      <alignment horizontal="left" vertical="center" wrapText="1"/>
    </xf>
    <xf numFmtId="43" fontId="33" fillId="7" borderId="19" xfId="1" applyFont="1" applyFill="1" applyBorder="1" applyAlignment="1">
      <alignment horizontal="left" vertical="center" wrapText="1"/>
    </xf>
    <xf numFmtId="43" fontId="13" fillId="0" borderId="19" xfId="1" applyFont="1" applyBorder="1" applyAlignment="1">
      <alignment horizontal="left" vertical="center" wrapText="1"/>
    </xf>
    <xf numFmtId="43" fontId="8" fillId="0" borderId="28" xfId="1" applyFont="1" applyFill="1" applyBorder="1" applyAlignment="1" applyProtection="1">
      <alignment horizontal="left" vertical="center"/>
    </xf>
    <xf numFmtId="166" fontId="40" fillId="0" borderId="0" xfId="1" applyNumberFormat="1" applyFont="1" applyFill="1"/>
    <xf numFmtId="43" fontId="57" fillId="0" borderId="1" xfId="1" applyFont="1" applyBorder="1" applyAlignment="1">
      <alignment horizontal="left" indent="1"/>
    </xf>
    <xf numFmtId="43" fontId="60" fillId="8" borderId="1" xfId="1" applyFont="1" applyFill="1" applyBorder="1"/>
  </cellXfs>
  <cellStyles count="22">
    <cellStyle name="=C:\WINNT35\SYSTEM32\COMMAND.COM" xfId="17" xr:uid="{FCE48151-92E5-4AE8-9DA0-F893ED10BA4B}"/>
    <cellStyle name="1Normal 2" xfId="6" xr:uid="{9612DEA8-724B-405E-922C-51528FD6FDC4}"/>
    <cellStyle name="Comma" xfId="1" builtinId="3"/>
    <cellStyle name="Comma 10" xfId="18" xr:uid="{270A21FB-38AA-4AE8-B2A8-9D91C0273217}"/>
    <cellStyle name="Comma 10 12" xfId="19" xr:uid="{94170659-689A-4070-A44B-BE343BFF43C7}"/>
    <cellStyle name="Comma 111" xfId="21" xr:uid="{FF353B65-459A-4BF4-A34C-DBD87280D4B6}"/>
    <cellStyle name="Comma 2" xfId="15" xr:uid="{716B3CC2-AF08-435E-9DFC-B5E2EDF0A307}"/>
    <cellStyle name="Comma 3" xfId="10" xr:uid="{A861470B-EAFB-4852-8211-51ECA26AB3D2}"/>
    <cellStyle name="Hyperlink" xfId="3" builtinId="8"/>
    <cellStyle name="Normal" xfId="0" builtinId="0"/>
    <cellStyle name="Normal 10 2" xfId="20" xr:uid="{5B7B5E60-D39E-45BF-B286-CF7D67822C9F}"/>
    <cellStyle name="Normal 121 2" xfId="12" xr:uid="{EF7EB144-F76B-44C5-96EE-BB3E1DA38DE8}"/>
    <cellStyle name="Normal 122" xfId="4" xr:uid="{DE66234B-4274-410F-B775-767570FD1E9D}"/>
    <cellStyle name="Normal 123" xfId="7" xr:uid="{F601AA7A-72A5-4554-B487-49525FCC5361}"/>
    <cellStyle name="Normal 2" xfId="5" xr:uid="{1466BB40-81B6-4D4A-B9B8-96954621D69D}"/>
    <cellStyle name="Normal 2 2" xfId="13" xr:uid="{22419AD0-9A9E-45C1-845E-02B4189B1B49}"/>
    <cellStyle name="Normal 4" xfId="11" xr:uid="{61084542-B0CF-4D32-83A3-A99693B9B2EF}"/>
    <cellStyle name="Normal_Capital &amp; RWA N" xfId="8" xr:uid="{E1A769C0-72D7-4203-BDD9-D0385211FF54}"/>
    <cellStyle name="Normal_Capital &amp; RWA N 2" xfId="14" xr:uid="{9432D9CE-8B54-4630-B87D-D9C46F3CADE2}"/>
    <cellStyle name="Normal_Casestdy draft" xfId="16" xr:uid="{1FEEAD14-A805-44BB-94A5-5B431B04EEF3}"/>
    <cellStyle name="Normal_Casestdy draft 2" xfId="9" xr:uid="{1C62C063-FEAC-4568-86DB-EF94FF082A03}"/>
    <cellStyle name="Percent" xfId="2" builtinId="5"/>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2" name="Straight Connector 1">
          <a:extLst>
            <a:ext uri="{FF2B5EF4-FFF2-40B4-BE49-F238E27FC236}">
              <a16:creationId xmlns:a16="http://schemas.microsoft.com/office/drawing/2014/main" id="{1C49F5A8-306F-488F-8AAA-B4FAF2F6202E}"/>
            </a:ext>
          </a:extLst>
        </xdr:cNvPr>
        <xdr:cNvCxnSpPr/>
      </xdr:nvCxnSpPr>
      <xdr:spPr>
        <a:xfrm>
          <a:off x="704850" y="981075"/>
          <a:ext cx="632460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kbank.g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D589B-027E-49B4-AD93-A155DD1B8BDB}">
  <dimension ref="A1:C35"/>
  <sheetViews>
    <sheetView zoomScaleNormal="85" workbookViewId="0">
      <pane xSplit="1" ySplit="7" topLeftCell="B23" activePane="bottomRight" state="frozen"/>
      <selection activeCell="E23" sqref="E23"/>
      <selection pane="topRight" activeCell="E23" sqref="E23"/>
      <selection pane="bottomLeft" activeCell="E23" sqref="E23"/>
      <selection pane="bottomRight" activeCell="C27" sqref="C27"/>
    </sheetView>
  </sheetViews>
  <sheetFormatPr defaultRowHeight="15" x14ac:dyDescent="0.25"/>
  <cols>
    <col min="1" max="1" width="10.28515625" style="19" customWidth="1"/>
    <col min="2" max="2" width="153" bestFit="1" customWidth="1"/>
    <col min="3" max="3" width="39.42578125" customWidth="1"/>
    <col min="7" max="7" width="25" customWidth="1"/>
  </cols>
  <sheetData>
    <row r="1" spans="1:3" ht="15.75" x14ac:dyDescent="0.3">
      <c r="A1" s="1"/>
      <c r="B1" s="2" t="s">
        <v>0</v>
      </c>
      <c r="C1" s="3"/>
    </row>
    <row r="2" spans="1:3" s="7" customFormat="1" ht="15.75" x14ac:dyDescent="0.3">
      <c r="A2" s="4">
        <v>1</v>
      </c>
      <c r="B2" s="5" t="s">
        <v>1</v>
      </c>
      <c r="C2" s="6" t="s">
        <v>2</v>
      </c>
    </row>
    <row r="3" spans="1:3" s="7" customFormat="1" ht="15.75" x14ac:dyDescent="0.3">
      <c r="A3" s="4">
        <v>2</v>
      </c>
      <c r="B3" s="8" t="s">
        <v>3</v>
      </c>
      <c r="C3" s="6" t="s">
        <v>4</v>
      </c>
    </row>
    <row r="4" spans="1:3" s="7" customFormat="1" ht="15.75" x14ac:dyDescent="0.3">
      <c r="A4" s="4">
        <v>3</v>
      </c>
      <c r="B4" s="8" t="s">
        <v>5</v>
      </c>
      <c r="C4" s="6" t="s">
        <v>6</v>
      </c>
    </row>
    <row r="5" spans="1:3" s="7" customFormat="1" ht="15.75" x14ac:dyDescent="0.3">
      <c r="A5" s="9">
        <v>4</v>
      </c>
      <c r="B5" s="10" t="s">
        <v>7</v>
      </c>
      <c r="C5" s="11" t="s">
        <v>8</v>
      </c>
    </row>
    <row r="6" spans="1:3" s="12" customFormat="1" ht="65.25" customHeight="1" x14ac:dyDescent="0.3">
      <c r="A6" s="698" t="s">
        <v>9</v>
      </c>
      <c r="B6" s="699"/>
      <c r="C6" s="699"/>
    </row>
    <row r="7" spans="1:3" x14ac:dyDescent="0.25">
      <c r="A7" s="13" t="s">
        <v>10</v>
      </c>
      <c r="B7" s="2" t="s">
        <v>11</v>
      </c>
    </row>
    <row r="8" spans="1:3" x14ac:dyDescent="0.25">
      <c r="A8" s="1">
        <v>1</v>
      </c>
      <c r="B8" s="14" t="s">
        <v>12</v>
      </c>
    </row>
    <row r="9" spans="1:3" x14ac:dyDescent="0.25">
      <c r="A9" s="1">
        <v>2</v>
      </c>
      <c r="B9" s="14" t="s">
        <v>13</v>
      </c>
    </row>
    <row r="10" spans="1:3" x14ac:dyDescent="0.25">
      <c r="A10" s="1">
        <v>3</v>
      </c>
      <c r="B10" s="14" t="s">
        <v>14</v>
      </c>
    </row>
    <row r="11" spans="1:3" x14ac:dyDescent="0.25">
      <c r="A11" s="1">
        <v>4</v>
      </c>
      <c r="B11" s="14" t="s">
        <v>15</v>
      </c>
    </row>
    <row r="12" spans="1:3" x14ac:dyDescent="0.25">
      <c r="A12" s="1">
        <v>5</v>
      </c>
      <c r="B12" s="14" t="s">
        <v>16</v>
      </c>
    </row>
    <row r="13" spans="1:3" x14ac:dyDescent="0.25">
      <c r="A13" s="1">
        <v>6</v>
      </c>
      <c r="B13" s="15" t="s">
        <v>17</v>
      </c>
    </row>
    <row r="14" spans="1:3" x14ac:dyDescent="0.25">
      <c r="A14" s="1">
        <v>7</v>
      </c>
      <c r="B14" s="14" t="s">
        <v>18</v>
      </c>
    </row>
    <row r="15" spans="1:3" x14ac:dyDescent="0.25">
      <c r="A15" s="1">
        <v>8</v>
      </c>
      <c r="B15" s="14" t="s">
        <v>19</v>
      </c>
    </row>
    <row r="16" spans="1:3" x14ac:dyDescent="0.25">
      <c r="A16" s="1">
        <v>9</v>
      </c>
      <c r="B16" s="14" t="s">
        <v>20</v>
      </c>
    </row>
    <row r="17" spans="1:2" x14ac:dyDescent="0.25">
      <c r="A17" s="16" t="s">
        <v>21</v>
      </c>
      <c r="B17" s="14" t="s">
        <v>22</v>
      </c>
    </row>
    <row r="18" spans="1:2" x14ac:dyDescent="0.25">
      <c r="A18" s="1">
        <v>10</v>
      </c>
      <c r="B18" s="14" t="s">
        <v>23</v>
      </c>
    </row>
    <row r="19" spans="1:2" x14ac:dyDescent="0.25">
      <c r="A19" s="1">
        <v>11</v>
      </c>
      <c r="B19" s="15" t="s">
        <v>24</v>
      </c>
    </row>
    <row r="20" spans="1:2" x14ac:dyDescent="0.25">
      <c r="A20" s="1">
        <v>12</v>
      </c>
      <c r="B20" s="15" t="s">
        <v>25</v>
      </c>
    </row>
    <row r="21" spans="1:2" x14ac:dyDescent="0.25">
      <c r="A21" s="1">
        <v>13</v>
      </c>
      <c r="B21" s="17" t="s">
        <v>26</v>
      </c>
    </row>
    <row r="22" spans="1:2" x14ac:dyDescent="0.25">
      <c r="A22" s="1">
        <v>14</v>
      </c>
      <c r="B22" s="14" t="s">
        <v>27</v>
      </c>
    </row>
    <row r="23" spans="1:2" x14ac:dyDescent="0.25">
      <c r="A23" s="1">
        <v>15</v>
      </c>
      <c r="B23" s="14" t="s">
        <v>28</v>
      </c>
    </row>
    <row r="24" spans="1:2" x14ac:dyDescent="0.25">
      <c r="A24" s="1">
        <v>15.1</v>
      </c>
      <c r="B24" s="14" t="s">
        <v>29</v>
      </c>
    </row>
    <row r="25" spans="1:2" x14ac:dyDescent="0.25">
      <c r="A25" s="1">
        <v>16</v>
      </c>
      <c r="B25" s="14" t="s">
        <v>30</v>
      </c>
    </row>
    <row r="26" spans="1:2" x14ac:dyDescent="0.25">
      <c r="A26" s="1">
        <v>17</v>
      </c>
      <c r="B26" s="14" t="s">
        <v>31</v>
      </c>
    </row>
    <row r="27" spans="1:2" x14ac:dyDescent="0.25">
      <c r="A27" s="1">
        <v>18</v>
      </c>
      <c r="B27" s="14" t="s">
        <v>32</v>
      </c>
    </row>
    <row r="28" spans="1:2" x14ac:dyDescent="0.25">
      <c r="A28" s="1">
        <v>19</v>
      </c>
      <c r="B28" s="14" t="s">
        <v>33</v>
      </c>
    </row>
    <row r="29" spans="1:2" x14ac:dyDescent="0.25">
      <c r="A29" s="1">
        <v>20</v>
      </c>
      <c r="B29" s="14" t="s">
        <v>34</v>
      </c>
    </row>
    <row r="30" spans="1:2" x14ac:dyDescent="0.25">
      <c r="A30" s="1">
        <v>21</v>
      </c>
      <c r="B30" s="14" t="s">
        <v>35</v>
      </c>
    </row>
    <row r="31" spans="1:2" x14ac:dyDescent="0.25">
      <c r="A31" s="1">
        <v>22</v>
      </c>
      <c r="B31" s="14" t="s">
        <v>36</v>
      </c>
    </row>
    <row r="32" spans="1:2" ht="25.5" x14ac:dyDescent="0.25">
      <c r="A32" s="1">
        <v>23</v>
      </c>
      <c r="B32" s="18" t="s">
        <v>37</v>
      </c>
    </row>
    <row r="33" spans="1:2" x14ac:dyDescent="0.25">
      <c r="A33" s="1">
        <v>24</v>
      </c>
      <c r="B33" s="14" t="s">
        <v>38</v>
      </c>
    </row>
    <row r="34" spans="1:2" x14ac:dyDescent="0.25">
      <c r="A34" s="1">
        <v>25</v>
      </c>
      <c r="B34" s="14" t="s">
        <v>39</v>
      </c>
    </row>
    <row r="35" spans="1:2" x14ac:dyDescent="0.25">
      <c r="A35" s="1">
        <v>26</v>
      </c>
      <c r="B35" s="14" t="s">
        <v>40</v>
      </c>
    </row>
  </sheetData>
  <mergeCells count="1">
    <mergeCell ref="A6:C6"/>
  </mergeCells>
  <hyperlinks>
    <hyperlink ref="B8" location="'1. key ratios'!A1" display="ცხრილი 1: ძირითადი მაჩვენებლები" xr:uid="{DF73602B-824E-4E2A-B814-14AC15D2DAD8}"/>
    <hyperlink ref="B9" location="'2. SOFP'!A1" display="საბალანსო უწყისი" xr:uid="{C8F0CF5C-8142-4B62-A6DF-D25B83DD4B2F}"/>
    <hyperlink ref="B10" location="'3. SOPL'!A1" display="მოგება-ზარალის ანგარიშგება" xr:uid="{810B6510-3C84-44D7-A2BA-9EDD7A96610E}"/>
    <hyperlink ref="B11" location="'4. Off-Balance'!A1" display="ბალანსგარეშე ანგარიშების უწყისი " xr:uid="{8C338B69-8AA7-4706-B574-B9645EA21B04}"/>
    <hyperlink ref="B12" location="'5. RWA'!A1" display="ცხრილი 5: რისკის მიხედვით შეწონილი რისკის პოზიციები" xr:uid="{314B0F11-110B-4167-99D7-C1DF9CC5A68C}"/>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F448AEC9-E562-4FCC-AD2C-6C1C8E20FD5D}"/>
    <hyperlink ref="B13" location="'6. Administrators-shareholders'!A1" display="ინფორმაცია ბანკის სამეთვალყურეო საბჭოს, დირექტორატის და აქციონერთა შესახებ" xr:uid="{23102995-ADAE-4FC6-B4E6-1453E8BCAAB5}"/>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B4B86F28-024E-44BF-8F34-EFA90FE2497F}"/>
    <hyperlink ref="B16" location="'9. Capital'!A1" display="ცხრილი 9: საზედამხედველო კაპიტალი" xr:uid="{EDE36596-3D20-4F17-A41C-195ACC378233}"/>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4DE9C8A1-1DB2-4435-A3E6-DD12908C11A4}"/>
    <hyperlink ref="B20" location="'12. CRM'!A1" display="საკრედიტო რისკის მიტიგაცია" xr:uid="{71243550-A22C-4756-96DF-B53BF6BD04C1}"/>
    <hyperlink ref="B19" location="'11. CRWA'!A1" display="საკრედიტო რისკის მიხედვით შეწონილი რისკის პოზიციები" xr:uid="{989FAF72-71BA-4609-BA1A-2C9AE6A7A537}"/>
    <hyperlink ref="B21" location="'13. CRME'!A1" display="სტანდარტიზებული მიდგომა - საკრედიტო რისკი საკრედიტო რისკის მიტიგაციის ეფექტი" xr:uid="{FFDFE20D-6040-416F-B446-F37968B96F0C}"/>
    <hyperlink ref="B23" location="'15. CCR'!A1" display="კონტრაგენტთან დაკავშირებული საკრედიტო რისკის მიხედვით შეწონილი რისკის პოზიციები" xr:uid="{60AB3DE2-0548-499C-A2D0-2796AA4B9350}"/>
    <hyperlink ref="B22" location="'14. LCR'!A1" display="ლიკვიდობის გადაფარვის კოეფიციენტი" xr:uid="{6BE3920D-9CCF-4F09-B1B7-98A73F5A8480}"/>
    <hyperlink ref="B17" location="'9.1. Capital Requirements'!A1" display="კაპიტალის ადეკვატურობის მოთხოვნები" xr:uid="{B6288E80-58B3-47FE-9145-91EB88601F85}"/>
    <hyperlink ref="B24" location="'15.1. LR'!A1" display="ლევერიჯის კოეფიციენტი" xr:uid="{E42CFD22-9C9D-4967-A54B-B8ADEEAD2C29}"/>
    <hyperlink ref="B25" location="'16. NSFR'!A1" display="წმინდა სტაბილური დაფინანსების კოეფიციენტი" xr:uid="{63D15C97-4CE6-4895-BDA9-4F1F14B4884B}"/>
    <hyperlink ref="B26" location="' 17. Residual Maturity'!A1" display="რისკის პოზიციის ღირებულება ნარჩენი ვადიანობის  და რისკის კლასების მიხედვით" xr:uid="{232A21DD-06B8-427A-8EB8-889FBD6D032F}"/>
    <hyperlink ref="B27" location="'18. Assets by Exposure classe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რისკის კლასების მიხედვით" xr:uid="{92BFCE71-7ADD-41C0-A79D-EE66C9BE4498}"/>
    <hyperlink ref="B28" location="'19. Assets by Risk Sector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დაფარვის წყაროს სექტორების მიხედვით" xr:uid="{6CFF593E-C82A-41AB-9E96-3E6BF0288F6F}"/>
    <hyperlink ref="B30" location="'21. NPL'!A1" display="უმოქმედო სესხების ცვლილება" xr:uid="{E00DCD0C-8B15-48BD-B786-2B8D4B68C1AB}"/>
    <hyperlink ref="B31" location="'22. Quality'!A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xr:uid="{300B1C28-F6DC-46B9-BC2A-7525D1AA4E51}"/>
    <hyperlink ref="B32" location="'23. LTV'!A1"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xr:uid="{10C4CCDB-A477-46BD-B846-9290392024EC}"/>
    <hyperlink ref="B33" location="'24. Risk Sector'!A1" display="სესხების და სესხებზე რეზერვის განაწილება, დაფარვის წყაროს სექტორების და კლასიფიკაციის მიხედვით" xr:uid="{F55318F0-1776-452E-B65A-4BF8DC33BC82}"/>
    <hyperlink ref="B34" location="'25. Collateral'!A1"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xr:uid="{17040864-3835-4452-BFF4-AD1DE3B244D3}"/>
    <hyperlink ref="B29" location="'20. Reserves'!A1" display="რეზერვის ცვლილება სესხებზე და კორპორატიულ სავალო ფასიანი ქაღალდებზე" xr:uid="{EE2BA3D1-A16D-4983-9780-959CA1CA604D}"/>
    <hyperlink ref="B35" location="'26. Retail Products'!A1" display="ზოგადი ინფორმაცია საცალო პროდუქტებზე" xr:uid="{2CE9C37B-3415-42FB-8425-9D325D15751F}"/>
    <hyperlink ref="C5" r:id="rId1" xr:uid="{DA07BAB5-1D34-48B9-BE00-00BA92810EBD}"/>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9FC2-029E-441A-92AD-8F5AA0363E3B}">
  <dimension ref="A1:F56"/>
  <sheetViews>
    <sheetView zoomScaleNormal="100" workbookViewId="0">
      <pane xSplit="1" ySplit="5" topLeftCell="B6" activePane="bottomRight" state="frozen"/>
      <selection activeCell="H50" sqref="H50"/>
      <selection pane="topRight" activeCell="H50" sqref="H50"/>
      <selection pane="bottomLeft" activeCell="H50" sqref="H50"/>
      <selection pane="bottomRight" activeCell="C29" activeCellId="1" sqref="C53 C29"/>
    </sheetView>
  </sheetViews>
  <sheetFormatPr defaultRowHeight="15" x14ac:dyDescent="0.25"/>
  <cols>
    <col min="1" max="1" width="9.5703125" style="19" bestFit="1" customWidth="1"/>
    <col min="2" max="2" width="132.42578125" style="19" customWidth="1"/>
    <col min="3" max="3" width="18.42578125" style="19" customWidth="1"/>
    <col min="5" max="5" width="13.7109375" bestFit="1" customWidth="1"/>
    <col min="6" max="6" width="14.42578125" bestFit="1" customWidth="1"/>
  </cols>
  <sheetData>
    <row r="1" spans="1:6" ht="15.75" x14ac:dyDescent="0.3">
      <c r="A1" s="20" t="s">
        <v>41</v>
      </c>
      <c r="B1" s="22" t="str">
        <f>Info!C2</f>
        <v>სს სილქ ბანკი</v>
      </c>
      <c r="D1" s="19"/>
      <c r="E1" s="19"/>
      <c r="F1" s="19"/>
    </row>
    <row r="2" spans="1:6" s="20" customFormat="1" ht="15.75" customHeight="1" x14ac:dyDescent="0.3">
      <c r="A2" s="20" t="s">
        <v>42</v>
      </c>
      <c r="B2" s="23">
        <f>'1. key ratios'!B2</f>
        <v>45107</v>
      </c>
    </row>
    <row r="3" spans="1:6" s="20" customFormat="1" ht="15.75" customHeight="1" x14ac:dyDescent="0.3"/>
    <row r="4" spans="1:6" ht="15.75" thickBot="1" x14ac:dyDescent="0.3">
      <c r="A4" s="19" t="s">
        <v>308</v>
      </c>
      <c r="B4" s="250" t="s">
        <v>20</v>
      </c>
    </row>
    <row r="5" spans="1:6" x14ac:dyDescent="0.25">
      <c r="A5" s="251" t="s">
        <v>46</v>
      </c>
      <c r="B5" s="252"/>
      <c r="C5" s="253" t="s">
        <v>90</v>
      </c>
    </row>
    <row r="6" spans="1:6" x14ac:dyDescent="0.25">
      <c r="A6" s="254">
        <v>1</v>
      </c>
      <c r="B6" s="255" t="s">
        <v>309</v>
      </c>
      <c r="C6" s="256">
        <f>SUM(C7:C11)</f>
        <v>54602952.877874441</v>
      </c>
      <c r="E6" s="42"/>
    </row>
    <row r="7" spans="1:6" x14ac:dyDescent="0.25">
      <c r="A7" s="254">
        <v>2</v>
      </c>
      <c r="B7" s="257" t="s">
        <v>310</v>
      </c>
      <c r="C7" s="258">
        <v>62946400</v>
      </c>
      <c r="E7" s="42"/>
    </row>
    <row r="8" spans="1:6" x14ac:dyDescent="0.25">
      <c r="A8" s="254">
        <v>3</v>
      </c>
      <c r="B8" s="259" t="s">
        <v>311</v>
      </c>
      <c r="C8" s="258"/>
      <c r="E8" s="42"/>
    </row>
    <row r="9" spans="1:6" x14ac:dyDescent="0.25">
      <c r="A9" s="254">
        <v>4</v>
      </c>
      <c r="B9" s="259" t="s">
        <v>312</v>
      </c>
      <c r="C9" s="258"/>
      <c r="E9" s="42"/>
    </row>
    <row r="10" spans="1:6" x14ac:dyDescent="0.25">
      <c r="A10" s="254">
        <v>5</v>
      </c>
      <c r="B10" s="259" t="s">
        <v>313</v>
      </c>
      <c r="C10" s="258">
        <v>4352500.4589957595</v>
      </c>
      <c r="E10" s="42"/>
    </row>
    <row r="11" spans="1:6" x14ac:dyDescent="0.25">
      <c r="A11" s="254">
        <v>6</v>
      </c>
      <c r="B11" s="260" t="s">
        <v>314</v>
      </c>
      <c r="C11" s="258">
        <v>-12695947.58112132</v>
      </c>
      <c r="E11" s="42"/>
    </row>
    <row r="12" spans="1:6" s="239" customFormat="1" x14ac:dyDescent="0.25">
      <c r="A12" s="254">
        <v>7</v>
      </c>
      <c r="B12" s="255" t="s">
        <v>315</v>
      </c>
      <c r="C12" s="261">
        <f>SUM(C13:C28)</f>
        <v>5148339.8189957589</v>
      </c>
      <c r="E12" s="42"/>
    </row>
    <row r="13" spans="1:6" s="239" customFormat="1" x14ac:dyDescent="0.25">
      <c r="A13" s="254">
        <v>8</v>
      </c>
      <c r="B13" s="262" t="s">
        <v>316</v>
      </c>
      <c r="C13" s="263">
        <v>4352500.4589957595</v>
      </c>
      <c r="E13" s="42"/>
    </row>
    <row r="14" spans="1:6" s="239" customFormat="1" ht="25.5" x14ac:dyDescent="0.25">
      <c r="A14" s="254">
        <v>9</v>
      </c>
      <c r="B14" s="264" t="s">
        <v>317</v>
      </c>
      <c r="C14" s="263"/>
      <c r="E14" s="42"/>
    </row>
    <row r="15" spans="1:6" s="239" customFormat="1" x14ac:dyDescent="0.25">
      <c r="A15" s="254">
        <v>10</v>
      </c>
      <c r="B15" s="265" t="s">
        <v>112</v>
      </c>
      <c r="C15" s="263">
        <v>795839.35999999987</v>
      </c>
      <c r="E15" s="42"/>
    </row>
    <row r="16" spans="1:6" s="239" customFormat="1" x14ac:dyDescent="0.25">
      <c r="A16" s="254">
        <v>11</v>
      </c>
      <c r="B16" s="266" t="s">
        <v>318</v>
      </c>
      <c r="C16" s="263"/>
      <c r="E16" s="42"/>
    </row>
    <row r="17" spans="1:6" s="239" customFormat="1" x14ac:dyDescent="0.25">
      <c r="A17" s="254">
        <v>12</v>
      </c>
      <c r="B17" s="265" t="s">
        <v>319</v>
      </c>
      <c r="C17" s="263"/>
      <c r="E17" s="42"/>
    </row>
    <row r="18" spans="1:6" s="239" customFormat="1" x14ac:dyDescent="0.25">
      <c r="A18" s="254">
        <v>13</v>
      </c>
      <c r="B18" s="265" t="s">
        <v>320</v>
      </c>
      <c r="C18" s="263"/>
      <c r="E18" s="42"/>
    </row>
    <row r="19" spans="1:6" s="239" customFormat="1" x14ac:dyDescent="0.25">
      <c r="A19" s="254">
        <v>14</v>
      </c>
      <c r="B19" s="265" t="s">
        <v>321</v>
      </c>
      <c r="C19" s="263"/>
      <c r="E19" s="42"/>
    </row>
    <row r="20" spans="1:6" s="239" customFormat="1" ht="25.5" x14ac:dyDescent="0.25">
      <c r="A20" s="254">
        <v>15</v>
      </c>
      <c r="B20" s="265" t="s">
        <v>322</v>
      </c>
      <c r="C20" s="263"/>
      <c r="E20" s="42"/>
    </row>
    <row r="21" spans="1:6" s="239" customFormat="1" ht="25.5" x14ac:dyDescent="0.25">
      <c r="A21" s="254">
        <v>16</v>
      </c>
      <c r="B21" s="264" t="s">
        <v>323</v>
      </c>
      <c r="C21" s="263"/>
      <c r="E21" s="42"/>
    </row>
    <row r="22" spans="1:6" s="239" customFormat="1" x14ac:dyDescent="0.25">
      <c r="A22" s="254">
        <v>17</v>
      </c>
      <c r="B22" s="267" t="s">
        <v>324</v>
      </c>
      <c r="C22" s="263"/>
      <c r="E22" s="42"/>
    </row>
    <row r="23" spans="1:6" s="239" customFormat="1" x14ac:dyDescent="0.25">
      <c r="A23" s="254">
        <v>18</v>
      </c>
      <c r="B23" s="268" t="s">
        <v>325</v>
      </c>
      <c r="C23" s="263"/>
      <c r="E23" s="42"/>
    </row>
    <row r="24" spans="1:6" s="239" customFormat="1" ht="25.5" x14ac:dyDescent="0.25">
      <c r="A24" s="254">
        <v>19</v>
      </c>
      <c r="B24" s="264" t="s">
        <v>326</v>
      </c>
      <c r="C24" s="263"/>
      <c r="E24" s="42"/>
    </row>
    <row r="25" spans="1:6" s="239" customFormat="1" ht="25.5" x14ac:dyDescent="0.25">
      <c r="A25" s="254">
        <v>20</v>
      </c>
      <c r="B25" s="264" t="s">
        <v>327</v>
      </c>
      <c r="C25" s="263"/>
      <c r="E25" s="42"/>
    </row>
    <row r="26" spans="1:6" s="239" customFormat="1" ht="25.5" x14ac:dyDescent="0.25">
      <c r="A26" s="254">
        <v>21</v>
      </c>
      <c r="B26" s="266" t="s">
        <v>328</v>
      </c>
      <c r="C26" s="263"/>
      <c r="E26" s="42"/>
    </row>
    <row r="27" spans="1:6" s="239" customFormat="1" x14ac:dyDescent="0.25">
      <c r="A27" s="254">
        <v>22</v>
      </c>
      <c r="B27" s="266" t="s">
        <v>329</v>
      </c>
      <c r="C27" s="263"/>
      <c r="E27" s="42"/>
    </row>
    <row r="28" spans="1:6" s="239" customFormat="1" ht="25.5" x14ac:dyDescent="0.25">
      <c r="A28" s="254">
        <v>23</v>
      </c>
      <c r="B28" s="266" t="s">
        <v>330</v>
      </c>
      <c r="C28" s="263"/>
      <c r="E28" s="42"/>
    </row>
    <row r="29" spans="1:6" s="239" customFormat="1" x14ac:dyDescent="0.25">
      <c r="A29" s="254">
        <v>24</v>
      </c>
      <c r="B29" s="269" t="s">
        <v>49</v>
      </c>
      <c r="C29" s="261">
        <f>C6-C12</f>
        <v>49454613.058878683</v>
      </c>
      <c r="E29" s="42"/>
      <c r="F29" s="270"/>
    </row>
    <row r="30" spans="1:6" s="239" customFormat="1" x14ac:dyDescent="0.25">
      <c r="A30" s="271"/>
      <c r="B30" s="272"/>
      <c r="C30" s="263"/>
      <c r="E30" s="42"/>
    </row>
    <row r="31" spans="1:6" s="239" customFormat="1" x14ac:dyDescent="0.25">
      <c r="A31" s="271">
        <v>25</v>
      </c>
      <c r="B31" s="269" t="s">
        <v>331</v>
      </c>
      <c r="C31" s="261">
        <f>C32+C35</f>
        <v>0</v>
      </c>
      <c r="E31" s="42"/>
    </row>
    <row r="32" spans="1:6" s="239" customFormat="1" x14ac:dyDescent="0.25">
      <c r="A32" s="271">
        <v>26</v>
      </c>
      <c r="B32" s="259" t="s">
        <v>332</v>
      </c>
      <c r="C32" s="273">
        <f>C33+C34</f>
        <v>0</v>
      </c>
      <c r="E32" s="42"/>
    </row>
    <row r="33" spans="1:5" s="239" customFormat="1" x14ac:dyDescent="0.25">
      <c r="A33" s="271">
        <v>27</v>
      </c>
      <c r="B33" s="274" t="s">
        <v>333</v>
      </c>
      <c r="C33" s="263"/>
      <c r="E33" s="42"/>
    </row>
    <row r="34" spans="1:5" s="239" customFormat="1" x14ac:dyDescent="0.25">
      <c r="A34" s="271">
        <v>28</v>
      </c>
      <c r="B34" s="274" t="s">
        <v>334</v>
      </c>
      <c r="C34" s="263"/>
      <c r="E34" s="42"/>
    </row>
    <row r="35" spans="1:5" s="239" customFormat="1" x14ac:dyDescent="0.25">
      <c r="A35" s="271">
        <v>29</v>
      </c>
      <c r="B35" s="259" t="s">
        <v>335</v>
      </c>
      <c r="C35" s="263"/>
      <c r="E35" s="42"/>
    </row>
    <row r="36" spans="1:5" s="239" customFormat="1" x14ac:dyDescent="0.25">
      <c r="A36" s="271">
        <v>30</v>
      </c>
      <c r="B36" s="269" t="s">
        <v>336</v>
      </c>
      <c r="C36" s="261">
        <f>SUM(C37:C41)</f>
        <v>0</v>
      </c>
      <c r="E36" s="42"/>
    </row>
    <row r="37" spans="1:5" s="239" customFormat="1" x14ac:dyDescent="0.25">
      <c r="A37" s="271">
        <v>31</v>
      </c>
      <c r="B37" s="264" t="s">
        <v>337</v>
      </c>
      <c r="C37" s="263"/>
      <c r="E37" s="42"/>
    </row>
    <row r="38" spans="1:5" s="239" customFormat="1" x14ac:dyDescent="0.25">
      <c r="A38" s="271">
        <v>32</v>
      </c>
      <c r="B38" s="265" t="s">
        <v>338</v>
      </c>
      <c r="C38" s="263"/>
      <c r="E38" s="42"/>
    </row>
    <row r="39" spans="1:5" s="239" customFormat="1" ht="25.5" x14ac:dyDescent="0.25">
      <c r="A39" s="271">
        <v>33</v>
      </c>
      <c r="B39" s="264" t="s">
        <v>339</v>
      </c>
      <c r="C39" s="263"/>
      <c r="E39" s="42"/>
    </row>
    <row r="40" spans="1:5" s="239" customFormat="1" ht="25.5" x14ac:dyDescent="0.25">
      <c r="A40" s="271">
        <v>34</v>
      </c>
      <c r="B40" s="264" t="s">
        <v>327</v>
      </c>
      <c r="C40" s="263"/>
      <c r="E40" s="42"/>
    </row>
    <row r="41" spans="1:5" s="239" customFormat="1" ht="25.5" x14ac:dyDescent="0.25">
      <c r="A41" s="271">
        <v>35</v>
      </c>
      <c r="B41" s="266" t="s">
        <v>340</v>
      </c>
      <c r="C41" s="263"/>
      <c r="E41" s="42"/>
    </row>
    <row r="42" spans="1:5" s="239" customFormat="1" x14ac:dyDescent="0.25">
      <c r="A42" s="271">
        <v>36</v>
      </c>
      <c r="B42" s="269" t="s">
        <v>341</v>
      </c>
      <c r="C42" s="261">
        <f>C31-C36</f>
        <v>0</v>
      </c>
      <c r="E42" s="42"/>
    </row>
    <row r="43" spans="1:5" s="239" customFormat="1" x14ac:dyDescent="0.25">
      <c r="A43" s="271"/>
      <c r="B43" s="272"/>
      <c r="C43" s="263"/>
      <c r="E43" s="42"/>
    </row>
    <row r="44" spans="1:5" s="239" customFormat="1" x14ac:dyDescent="0.25">
      <c r="A44" s="271">
        <v>37</v>
      </c>
      <c r="B44" s="275" t="s">
        <v>342</v>
      </c>
      <c r="C44" s="261">
        <f>SUM(C45:C47)</f>
        <v>2875000</v>
      </c>
      <c r="E44" s="42"/>
    </row>
    <row r="45" spans="1:5" s="239" customFormat="1" x14ac:dyDescent="0.25">
      <c r="A45" s="271">
        <v>38</v>
      </c>
      <c r="B45" s="259" t="s">
        <v>343</v>
      </c>
      <c r="C45" s="263">
        <v>2875000</v>
      </c>
      <c r="E45" s="42"/>
    </row>
    <row r="46" spans="1:5" s="239" customFormat="1" x14ac:dyDescent="0.25">
      <c r="A46" s="271">
        <v>39</v>
      </c>
      <c r="B46" s="259" t="s">
        <v>344</v>
      </c>
      <c r="C46" s="263"/>
      <c r="E46" s="42"/>
    </row>
    <row r="47" spans="1:5" s="239" customFormat="1" x14ac:dyDescent="0.25">
      <c r="A47" s="271">
        <v>40</v>
      </c>
      <c r="B47" s="644" t="s">
        <v>345</v>
      </c>
      <c r="C47" s="263"/>
      <c r="E47" s="42"/>
    </row>
    <row r="48" spans="1:5" s="239" customFormat="1" x14ac:dyDescent="0.25">
      <c r="A48" s="271">
        <v>41</v>
      </c>
      <c r="B48" s="275" t="s">
        <v>346</v>
      </c>
      <c r="C48" s="261">
        <f>SUM(C49:C52)</f>
        <v>0</v>
      </c>
      <c r="E48" s="42"/>
    </row>
    <row r="49" spans="1:5" s="239" customFormat="1" x14ac:dyDescent="0.25">
      <c r="A49" s="271">
        <v>42</v>
      </c>
      <c r="B49" s="264" t="s">
        <v>347</v>
      </c>
      <c r="C49" s="263"/>
      <c r="E49" s="42"/>
    </row>
    <row r="50" spans="1:5" s="239" customFormat="1" x14ac:dyDescent="0.25">
      <c r="A50" s="271">
        <v>43</v>
      </c>
      <c r="B50" s="265" t="s">
        <v>348</v>
      </c>
      <c r="C50" s="263"/>
      <c r="E50" s="42"/>
    </row>
    <row r="51" spans="1:5" s="239" customFormat="1" ht="25.5" x14ac:dyDescent="0.25">
      <c r="A51" s="271">
        <v>44</v>
      </c>
      <c r="B51" s="264" t="s">
        <v>349</v>
      </c>
      <c r="C51" s="263"/>
      <c r="E51" s="42"/>
    </row>
    <row r="52" spans="1:5" s="239" customFormat="1" ht="25.5" x14ac:dyDescent="0.25">
      <c r="A52" s="271">
        <v>45</v>
      </c>
      <c r="B52" s="264" t="s">
        <v>327</v>
      </c>
      <c r="C52" s="263"/>
      <c r="E52" s="42"/>
    </row>
    <row r="53" spans="1:5" s="239" customFormat="1" ht="15.75" thickBot="1" x14ac:dyDescent="0.3">
      <c r="A53" s="271">
        <v>46</v>
      </c>
      <c r="B53" s="276" t="s">
        <v>350</v>
      </c>
      <c r="C53" s="277">
        <f>C44-C48</f>
        <v>2875000</v>
      </c>
      <c r="E53" s="42"/>
    </row>
    <row r="56" spans="1:5" x14ac:dyDescent="0.25">
      <c r="B56" s="19" t="s">
        <v>351</v>
      </c>
    </row>
  </sheetData>
  <dataValidations count="1">
    <dataValidation operator="lessThanOrEqual" allowBlank="1" showInputMessage="1" showErrorMessage="1" errorTitle="Should be negative number" error="Should be whole negative number or 0" sqref="C13:C53" xr:uid="{AF7C6693-B75D-4BFC-92DF-413230C8BD5C}"/>
  </dataValidations>
  <pageMargins left="0.7" right="0.7" top="0.75" bottom="0.75" header="0.3" footer="0.3"/>
  <pageSetup paperSize="0" orientation="portrait" horizontalDpi="0" verticalDpi="0"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4414C-2EAF-496A-8932-2E96CD25F288}">
  <dimension ref="A1:D23"/>
  <sheetViews>
    <sheetView zoomScale="115" zoomScaleNormal="115" workbookViewId="0">
      <selection activeCell="G20" sqref="G20"/>
    </sheetView>
  </sheetViews>
  <sheetFormatPr defaultColWidth="9.140625" defaultRowHeight="12.75" x14ac:dyDescent="0.2"/>
  <cols>
    <col min="1" max="1" width="10.85546875" style="19" bestFit="1" customWidth="1"/>
    <col min="2" max="2" width="59" style="19" customWidth="1"/>
    <col min="3" max="3" width="16.7109375" style="19" bestFit="1" customWidth="1"/>
    <col min="4" max="4" width="22.140625" style="19" customWidth="1"/>
    <col min="5" max="16384" width="9.140625" style="19"/>
  </cols>
  <sheetData>
    <row r="1" spans="1:4" ht="15" x14ac:dyDescent="0.3">
      <c r="A1" s="20" t="s">
        <v>41</v>
      </c>
      <c r="B1" s="22" t="str">
        <f>Info!C2</f>
        <v>სს სილქ ბანკი</v>
      </c>
    </row>
    <row r="2" spans="1:4" s="20" customFormat="1" ht="15.75" customHeight="1" x14ac:dyDescent="0.3">
      <c r="A2" s="20" t="s">
        <v>42</v>
      </c>
      <c r="B2" s="23">
        <f>'1. key ratios'!B2</f>
        <v>45107</v>
      </c>
    </row>
    <row r="3" spans="1:4" s="20" customFormat="1" ht="15.75" customHeight="1" x14ac:dyDescent="0.3"/>
    <row r="4" spans="1:4" ht="13.5" thickBot="1" x14ac:dyDescent="0.25">
      <c r="A4" s="19" t="s">
        <v>352</v>
      </c>
      <c r="B4" s="278" t="s">
        <v>22</v>
      </c>
    </row>
    <row r="5" spans="1:4" s="248" customFormat="1" x14ac:dyDescent="0.25">
      <c r="A5" s="745" t="s">
        <v>353</v>
      </c>
      <c r="B5" s="746"/>
      <c r="C5" s="279" t="s">
        <v>354</v>
      </c>
      <c r="D5" s="280" t="s">
        <v>355</v>
      </c>
    </row>
    <row r="6" spans="1:4" s="284" customFormat="1" x14ac:dyDescent="0.25">
      <c r="A6" s="281">
        <v>1</v>
      </c>
      <c r="B6" s="282" t="s">
        <v>356</v>
      </c>
      <c r="C6" s="282"/>
      <c r="D6" s="283"/>
    </row>
    <row r="7" spans="1:4" s="284" customFormat="1" x14ac:dyDescent="0.25">
      <c r="A7" s="285" t="s">
        <v>357</v>
      </c>
      <c r="B7" s="286" t="s">
        <v>358</v>
      </c>
      <c r="C7" s="287">
        <v>4.4999999999999998E-2</v>
      </c>
      <c r="D7" s="837">
        <f>C7*'5. RWA'!$C$13</f>
        <v>3191978.5575742521</v>
      </c>
    </row>
    <row r="8" spans="1:4" s="284" customFormat="1" x14ac:dyDescent="0.25">
      <c r="A8" s="285" t="s">
        <v>359</v>
      </c>
      <c r="B8" s="286" t="s">
        <v>360</v>
      </c>
      <c r="C8" s="287">
        <v>0.06</v>
      </c>
      <c r="D8" s="837">
        <f>C8*'5. RWA'!$C$13</f>
        <v>4255971.4100990025</v>
      </c>
    </row>
    <row r="9" spans="1:4" s="284" customFormat="1" x14ac:dyDescent="0.25">
      <c r="A9" s="285" t="s">
        <v>361</v>
      </c>
      <c r="B9" s="286" t="s">
        <v>362</v>
      </c>
      <c r="C9" s="287">
        <v>0.08</v>
      </c>
      <c r="D9" s="837">
        <f>C9*'5. RWA'!$C$13</f>
        <v>5674628.5467986707</v>
      </c>
    </row>
    <row r="10" spans="1:4" s="284" customFormat="1" x14ac:dyDescent="0.25">
      <c r="A10" s="281" t="s">
        <v>363</v>
      </c>
      <c r="B10" s="282" t="s">
        <v>364</v>
      </c>
      <c r="C10" s="288"/>
      <c r="D10" s="838"/>
    </row>
    <row r="11" spans="1:4" s="292" customFormat="1" x14ac:dyDescent="0.25">
      <c r="A11" s="289" t="s">
        <v>365</v>
      </c>
      <c r="B11" s="290" t="s">
        <v>366</v>
      </c>
      <c r="C11" s="291">
        <v>0</v>
      </c>
      <c r="D11" s="839">
        <f>C11*'5. RWA'!$C$13</f>
        <v>0</v>
      </c>
    </row>
    <row r="12" spans="1:4" s="292" customFormat="1" x14ac:dyDescent="0.25">
      <c r="A12" s="289" t="s">
        <v>367</v>
      </c>
      <c r="B12" s="290" t="s">
        <v>368</v>
      </c>
      <c r="C12" s="291">
        <v>0</v>
      </c>
      <c r="D12" s="839">
        <f>C12*'5. RWA'!$C$13</f>
        <v>0</v>
      </c>
    </row>
    <row r="13" spans="1:4" s="292" customFormat="1" x14ac:dyDescent="0.25">
      <c r="A13" s="289" t="s">
        <v>369</v>
      </c>
      <c r="B13" s="290" t="s">
        <v>370</v>
      </c>
      <c r="C13" s="291">
        <v>0</v>
      </c>
      <c r="D13" s="839">
        <f>C13*'5. RWA'!$C$13</f>
        <v>0</v>
      </c>
    </row>
    <row r="14" spans="1:4" s="284" customFormat="1" x14ac:dyDescent="0.25">
      <c r="A14" s="281" t="s">
        <v>371</v>
      </c>
      <c r="B14" s="282" t="s">
        <v>372</v>
      </c>
      <c r="C14" s="293"/>
      <c r="D14" s="838"/>
    </row>
    <row r="15" spans="1:4" s="284" customFormat="1" x14ac:dyDescent="0.25">
      <c r="A15" s="294" t="s">
        <v>373</v>
      </c>
      <c r="B15" s="290" t="s">
        <v>374</v>
      </c>
      <c r="C15" s="291">
        <v>0.11909964793967108</v>
      </c>
      <c r="D15" s="839">
        <f>C15*'5. RWA'!$C$13</f>
        <v>8448078.276401611</v>
      </c>
    </row>
    <row r="16" spans="1:4" s="284" customFormat="1" x14ac:dyDescent="0.25">
      <c r="A16" s="294" t="s">
        <v>375</v>
      </c>
      <c r="B16" s="290" t="s">
        <v>376</v>
      </c>
      <c r="C16" s="291">
        <v>0.14423517748597003</v>
      </c>
      <c r="D16" s="839">
        <f>C16*'5. RWA'!$C$13</f>
        <v>10231013.195180731</v>
      </c>
    </row>
    <row r="17" spans="1:4" s="284" customFormat="1" x14ac:dyDescent="0.25">
      <c r="A17" s="294" t="s">
        <v>377</v>
      </c>
      <c r="B17" s="290" t="s">
        <v>378</v>
      </c>
      <c r="C17" s="291">
        <v>0.17730824267846865</v>
      </c>
      <c r="D17" s="839">
        <f>C17*'5. RWA'!$C$13</f>
        <v>12576980.193574306</v>
      </c>
    </row>
    <row r="18" spans="1:4" s="248" customFormat="1" x14ac:dyDescent="0.25">
      <c r="A18" s="747" t="s">
        <v>379</v>
      </c>
      <c r="B18" s="748"/>
      <c r="C18" s="295" t="s">
        <v>354</v>
      </c>
      <c r="D18" s="836" t="s">
        <v>355</v>
      </c>
    </row>
    <row r="19" spans="1:4" s="284" customFormat="1" x14ac:dyDescent="0.25">
      <c r="A19" s="296">
        <v>4</v>
      </c>
      <c r="B19" s="290" t="s">
        <v>49</v>
      </c>
      <c r="C19" s="291">
        <f>C7+C11+C12+C13+C15</f>
        <v>0.16409964793967108</v>
      </c>
      <c r="D19" s="837">
        <f>C19*'5. RWA'!$C$13</f>
        <v>11640056.833975865</v>
      </c>
    </row>
    <row r="20" spans="1:4" s="284" customFormat="1" x14ac:dyDescent="0.25">
      <c r="A20" s="296">
        <v>5</v>
      </c>
      <c r="B20" s="290" t="s">
        <v>50</v>
      </c>
      <c r="C20" s="291">
        <f>C8+C11+C12+C13+C16</f>
        <v>0.20423517748597003</v>
      </c>
      <c r="D20" s="837">
        <f>C20*'5. RWA'!$C$13</f>
        <v>14486984.605279732</v>
      </c>
    </row>
    <row r="21" spans="1:4" s="284" customFormat="1" ht="13.5" thickBot="1" x14ac:dyDescent="0.3">
      <c r="A21" s="297" t="s">
        <v>380</v>
      </c>
      <c r="B21" s="298" t="s">
        <v>20</v>
      </c>
      <c r="C21" s="299">
        <f>C9+C11+C12+C13+C17</f>
        <v>0.25730824267846863</v>
      </c>
      <c r="D21" s="840">
        <f>C21*'5. RWA'!$C$13</f>
        <v>18251608.740372974</v>
      </c>
    </row>
    <row r="23" spans="1:4" ht="63.75" x14ac:dyDescent="0.2">
      <c r="B23" s="93" t="s">
        <v>381</v>
      </c>
    </row>
  </sheetData>
  <mergeCells count="2">
    <mergeCell ref="A5:B5"/>
    <mergeCell ref="A18:B18"/>
  </mergeCells>
  <conditionalFormatting sqref="C21">
    <cfRule type="cellIs" dxfId="22"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F146B-76A1-4927-8156-AB2178790283}">
  <dimension ref="A1:E71"/>
  <sheetViews>
    <sheetView zoomScaleNormal="100" workbookViewId="0">
      <pane xSplit="1" ySplit="5" topLeftCell="B52" activePane="bottomRight" state="frozen"/>
      <selection activeCell="H50" sqref="H50"/>
      <selection pane="topRight" activeCell="H50" sqref="H50"/>
      <selection pane="bottomLeft" activeCell="H50" sqref="H50"/>
      <selection pane="bottomRight" activeCell="C69" sqref="C69"/>
    </sheetView>
  </sheetViews>
  <sheetFormatPr defaultRowHeight="15.75" x14ac:dyDescent="0.3"/>
  <cols>
    <col min="1" max="1" width="10.7109375" style="300" customWidth="1"/>
    <col min="2" max="2" width="91.85546875" style="300" customWidth="1"/>
    <col min="3" max="3" width="53.140625" style="300" customWidth="1"/>
    <col min="4" max="4" width="32.28515625" style="300" customWidth="1"/>
    <col min="5" max="5" width="9.42578125" customWidth="1"/>
  </cols>
  <sheetData>
    <row r="1" spans="1:5" x14ac:dyDescent="0.3">
      <c r="A1" s="20" t="s">
        <v>41</v>
      </c>
      <c r="B1" s="92" t="str">
        <f>Info!C2</f>
        <v>სს სილქ ბანკი</v>
      </c>
      <c r="E1" s="19"/>
    </row>
    <row r="2" spans="1:5" s="20" customFormat="1" ht="15.75" customHeight="1" x14ac:dyDescent="0.3">
      <c r="A2" s="20" t="s">
        <v>42</v>
      </c>
      <c r="B2" s="23">
        <f>'1. key ratios'!B2</f>
        <v>45107</v>
      </c>
    </row>
    <row r="3" spans="1:5" s="20" customFormat="1" ht="15.75" customHeight="1" x14ac:dyDescent="0.3">
      <c r="A3" s="301"/>
    </row>
    <row r="4" spans="1:5" s="20" customFormat="1" ht="15.75" customHeight="1" thickBot="1" x14ac:dyDescent="0.35">
      <c r="A4" s="20" t="s">
        <v>382</v>
      </c>
      <c r="B4" s="302" t="s">
        <v>23</v>
      </c>
      <c r="D4" s="303" t="s">
        <v>234</v>
      </c>
    </row>
    <row r="5" spans="1:5" ht="25.5" x14ac:dyDescent="0.25">
      <c r="A5" s="304" t="s">
        <v>46</v>
      </c>
      <c r="B5" s="305" t="s">
        <v>291</v>
      </c>
      <c r="C5" s="306" t="s">
        <v>383</v>
      </c>
      <c r="D5" s="307" t="s">
        <v>384</v>
      </c>
    </row>
    <row r="6" spans="1:5" x14ac:dyDescent="0.3">
      <c r="A6" s="100">
        <v>1</v>
      </c>
      <c r="B6" s="101" t="s">
        <v>94</v>
      </c>
      <c r="C6" s="680">
        <f>SUM(C7:C9)</f>
        <v>69824906.449999973</v>
      </c>
      <c r="D6" s="308"/>
      <c r="E6" s="309"/>
    </row>
    <row r="7" spans="1:5" x14ac:dyDescent="0.3">
      <c r="A7" s="100">
        <v>1.1000000000000001</v>
      </c>
      <c r="B7" s="104" t="s">
        <v>95</v>
      </c>
      <c r="C7" s="681">
        <f>'7. LI1'!E9</f>
        <v>2218674.4000000013</v>
      </c>
      <c r="D7" s="310"/>
      <c r="E7" s="309"/>
    </row>
    <row r="8" spans="1:5" x14ac:dyDescent="0.3">
      <c r="A8" s="100">
        <v>1.2</v>
      </c>
      <c r="B8" s="104" t="s">
        <v>96</v>
      </c>
      <c r="C8" s="681">
        <f>'7. LI1'!E10</f>
        <v>6596971.8899999708</v>
      </c>
      <c r="D8" s="310"/>
      <c r="E8" s="309"/>
    </row>
    <row r="9" spans="1:5" x14ac:dyDescent="0.3">
      <c r="A9" s="100">
        <v>1.3</v>
      </c>
      <c r="B9" s="104" t="s">
        <v>97</v>
      </c>
      <c r="C9" s="681">
        <f>'7. LI1'!E11</f>
        <v>61009260.160000004</v>
      </c>
      <c r="D9" s="310"/>
      <c r="E9" s="309"/>
    </row>
    <row r="10" spans="1:5" x14ac:dyDescent="0.3">
      <c r="A10" s="100">
        <v>2</v>
      </c>
      <c r="B10" s="106" t="s">
        <v>98</v>
      </c>
      <c r="C10" s="681">
        <f>'7. LI1'!E12</f>
        <v>13720</v>
      </c>
      <c r="D10" s="310"/>
      <c r="E10" s="309"/>
    </row>
    <row r="11" spans="1:5" x14ac:dyDescent="0.3">
      <c r="A11" s="100">
        <v>2.1</v>
      </c>
      <c r="B11" s="107" t="s">
        <v>99</v>
      </c>
      <c r="C11" s="681">
        <f>'7. LI1'!E13</f>
        <v>13720</v>
      </c>
      <c r="D11" s="311"/>
      <c r="E11" s="312"/>
    </row>
    <row r="12" spans="1:5" ht="23.45" customHeight="1" x14ac:dyDescent="0.3">
      <c r="A12" s="100">
        <v>3</v>
      </c>
      <c r="B12" s="108" t="s">
        <v>100</v>
      </c>
      <c r="C12" s="681">
        <f>'7. LI1'!E14</f>
        <v>0</v>
      </c>
      <c r="D12" s="311"/>
      <c r="E12" s="312"/>
    </row>
    <row r="13" spans="1:5" ht="23.1" customHeight="1" x14ac:dyDescent="0.3">
      <c r="A13" s="100">
        <v>4</v>
      </c>
      <c r="B13" s="109" t="s">
        <v>101</v>
      </c>
      <c r="C13" s="681">
        <f>'7. LI1'!E15</f>
        <v>0</v>
      </c>
      <c r="D13" s="311"/>
      <c r="E13" s="312"/>
    </row>
    <row r="14" spans="1:5" x14ac:dyDescent="0.3">
      <c r="A14" s="100">
        <v>5</v>
      </c>
      <c r="B14" s="109" t="s">
        <v>102</v>
      </c>
      <c r="C14" s="682">
        <f>SUM(C15:C17)</f>
        <v>20000</v>
      </c>
      <c r="D14" s="311"/>
      <c r="E14" s="312"/>
    </row>
    <row r="15" spans="1:5" x14ac:dyDescent="0.3">
      <c r="A15" s="100">
        <v>5.0999999999999996</v>
      </c>
      <c r="B15" s="112" t="s">
        <v>103</v>
      </c>
      <c r="C15" s="681">
        <f>'7. LI1'!E17</f>
        <v>20000</v>
      </c>
      <c r="D15" s="311"/>
      <c r="E15" s="309"/>
    </row>
    <row r="16" spans="1:5" x14ac:dyDescent="0.3">
      <c r="A16" s="100">
        <v>5.2</v>
      </c>
      <c r="B16" s="112" t="s">
        <v>104</v>
      </c>
      <c r="C16" s="681">
        <f>'7. LI1'!E18</f>
        <v>0</v>
      </c>
      <c r="D16" s="310"/>
      <c r="E16" s="309"/>
    </row>
    <row r="17" spans="1:5" x14ac:dyDescent="0.3">
      <c r="A17" s="100">
        <v>5.3</v>
      </c>
      <c r="B17" s="112" t="s">
        <v>105</v>
      </c>
      <c r="C17" s="681">
        <f>'7. LI1'!E19</f>
        <v>0</v>
      </c>
      <c r="D17" s="310"/>
      <c r="E17" s="309"/>
    </row>
    <row r="18" spans="1:5" x14ac:dyDescent="0.3">
      <c r="A18" s="100">
        <v>6</v>
      </c>
      <c r="B18" s="108" t="s">
        <v>106</v>
      </c>
      <c r="C18" s="683">
        <f>SUM(C19:C20)</f>
        <v>46173648.868657827</v>
      </c>
      <c r="D18" s="310"/>
      <c r="E18" s="309"/>
    </row>
    <row r="19" spans="1:5" x14ac:dyDescent="0.3">
      <c r="A19" s="100">
        <v>6.1</v>
      </c>
      <c r="B19" s="112" t="s">
        <v>104</v>
      </c>
      <c r="C19" s="684">
        <f>'7. LI1'!C21</f>
        <v>25010350.438634034</v>
      </c>
      <c r="D19" s="310"/>
      <c r="E19" s="309"/>
    </row>
    <row r="20" spans="1:5" x14ac:dyDescent="0.3">
      <c r="A20" s="100">
        <v>6.2</v>
      </c>
      <c r="B20" s="112" t="s">
        <v>105</v>
      </c>
      <c r="C20" s="684">
        <f>'7. LI1'!C22</f>
        <v>21163298.430023793</v>
      </c>
      <c r="D20" s="310"/>
      <c r="E20" s="309"/>
    </row>
    <row r="21" spans="1:5" x14ac:dyDescent="0.3">
      <c r="A21" s="100">
        <v>7</v>
      </c>
      <c r="B21" s="113" t="s">
        <v>107</v>
      </c>
      <c r="C21" s="682"/>
      <c r="D21" s="310"/>
      <c r="E21" s="309"/>
    </row>
    <row r="22" spans="1:5" x14ac:dyDescent="0.3">
      <c r="A22" s="100">
        <v>8</v>
      </c>
      <c r="B22" s="114" t="s">
        <v>108</v>
      </c>
      <c r="C22" s="683">
        <f>'7. LI1'!E24</f>
        <v>3389411.9415073614</v>
      </c>
      <c r="D22" s="310"/>
      <c r="E22" s="309"/>
    </row>
    <row r="23" spans="1:5" x14ac:dyDescent="0.3">
      <c r="A23" s="100">
        <v>9</v>
      </c>
      <c r="B23" s="109" t="s">
        <v>109</v>
      </c>
      <c r="C23" s="683">
        <f>SUM(C24:C25)</f>
        <v>19081042.57</v>
      </c>
      <c r="D23" s="313"/>
      <c r="E23" s="309"/>
    </row>
    <row r="24" spans="1:5" x14ac:dyDescent="0.3">
      <c r="A24" s="100">
        <v>9.1</v>
      </c>
      <c r="B24" s="115" t="s">
        <v>110</v>
      </c>
      <c r="C24" s="685">
        <f>'7. LI1'!E26</f>
        <v>19081042.57</v>
      </c>
      <c r="D24" s="314"/>
      <c r="E24" s="309"/>
    </row>
    <row r="25" spans="1:5" x14ac:dyDescent="0.3">
      <c r="A25" s="100">
        <v>9.1999999999999993</v>
      </c>
      <c r="B25" s="115" t="s">
        <v>111</v>
      </c>
      <c r="C25" s="685">
        <f>'7. LI1'!E27</f>
        <v>0</v>
      </c>
      <c r="D25" s="315"/>
      <c r="E25" s="316"/>
    </row>
    <row r="26" spans="1:5" x14ac:dyDescent="0.3">
      <c r="A26" s="100">
        <v>10</v>
      </c>
      <c r="B26" s="109" t="s">
        <v>112</v>
      </c>
      <c r="C26" s="686">
        <f>SUM(C27:C28)</f>
        <v>795839.35999999987</v>
      </c>
      <c r="D26" s="317" t="s">
        <v>385</v>
      </c>
      <c r="E26" s="309"/>
    </row>
    <row r="27" spans="1:5" x14ac:dyDescent="0.3">
      <c r="A27" s="100">
        <v>10.1</v>
      </c>
      <c r="B27" s="115" t="s">
        <v>113</v>
      </c>
      <c r="C27" s="681">
        <f>'7. LI1'!C29</f>
        <v>0</v>
      </c>
      <c r="D27" s="310"/>
      <c r="E27" s="309"/>
    </row>
    <row r="28" spans="1:5" x14ac:dyDescent="0.3">
      <c r="A28" s="100">
        <v>10.199999999999999</v>
      </c>
      <c r="B28" s="115" t="s">
        <v>114</v>
      </c>
      <c r="C28" s="681">
        <f>'7. LI1'!C30</f>
        <v>795839.35999999987</v>
      </c>
      <c r="D28" s="310"/>
      <c r="E28" s="309"/>
    </row>
    <row r="29" spans="1:5" x14ac:dyDescent="0.3">
      <c r="A29" s="100">
        <v>11</v>
      </c>
      <c r="B29" s="109" t="s">
        <v>115</v>
      </c>
      <c r="C29" s="683">
        <f>SUM(C30:C31)</f>
        <v>45248.5</v>
      </c>
      <c r="D29" s="310"/>
      <c r="E29" s="309"/>
    </row>
    <row r="30" spans="1:5" x14ac:dyDescent="0.3">
      <c r="A30" s="100">
        <v>11.1</v>
      </c>
      <c r="B30" s="115" t="s">
        <v>116</v>
      </c>
      <c r="C30" s="681">
        <f>'7. LI1'!C32</f>
        <v>45248.5</v>
      </c>
      <c r="D30" s="310"/>
      <c r="E30" s="309"/>
    </row>
    <row r="31" spans="1:5" x14ac:dyDescent="0.3">
      <c r="A31" s="100">
        <v>11.2</v>
      </c>
      <c r="B31" s="115" t="s">
        <v>117</v>
      </c>
      <c r="C31" s="681">
        <f>'7. LI1'!C33</f>
        <v>0</v>
      </c>
      <c r="D31" s="310"/>
      <c r="E31" s="309"/>
    </row>
    <row r="32" spans="1:5" x14ac:dyDescent="0.3">
      <c r="A32" s="100">
        <v>13</v>
      </c>
      <c r="B32" s="109" t="s">
        <v>118</v>
      </c>
      <c r="C32" s="681">
        <f>'7. LI1'!C34</f>
        <v>1725848.46</v>
      </c>
      <c r="D32" s="310"/>
      <c r="E32" s="309"/>
    </row>
    <row r="33" spans="1:5" x14ac:dyDescent="0.3">
      <c r="A33" s="100">
        <v>13.1</v>
      </c>
      <c r="B33" s="116" t="s">
        <v>119</v>
      </c>
      <c r="C33" s="681">
        <f>'7. LI1'!C35</f>
        <v>0</v>
      </c>
      <c r="D33" s="310"/>
      <c r="E33" s="309"/>
    </row>
    <row r="34" spans="1:5" x14ac:dyDescent="0.3">
      <c r="A34" s="100">
        <v>13.2</v>
      </c>
      <c r="B34" s="116" t="s">
        <v>120</v>
      </c>
      <c r="C34" s="681">
        <f>'7. LI1'!C36</f>
        <v>0</v>
      </c>
      <c r="D34" s="314"/>
      <c r="E34" s="309"/>
    </row>
    <row r="35" spans="1:5" x14ac:dyDescent="0.3">
      <c r="A35" s="100">
        <v>14</v>
      </c>
      <c r="B35" s="117" t="s">
        <v>121</v>
      </c>
      <c r="C35" s="687">
        <f>SUM(C6,C10,C12,C13,C14,C18,C21,C22,C23,C26,C29,C32)</f>
        <v>141069666.15016517</v>
      </c>
      <c r="D35" s="314"/>
      <c r="E35" s="309"/>
    </row>
    <row r="36" spans="1:5" x14ac:dyDescent="0.3">
      <c r="A36" s="100"/>
      <c r="B36" s="119" t="s">
        <v>122</v>
      </c>
      <c r="C36" s="679"/>
      <c r="D36" s="318"/>
      <c r="E36" s="309"/>
    </row>
    <row r="37" spans="1:5" x14ac:dyDescent="0.3">
      <c r="A37" s="100">
        <v>15</v>
      </c>
      <c r="B37" s="120" t="s">
        <v>123</v>
      </c>
      <c r="C37" s="688">
        <f>'2. SOFP'!E38</f>
        <v>229983.9425461124</v>
      </c>
      <c r="D37" s="315"/>
      <c r="E37" s="316"/>
    </row>
    <row r="38" spans="1:5" x14ac:dyDescent="0.3">
      <c r="A38" s="100">
        <v>15.1</v>
      </c>
      <c r="B38" s="107" t="s">
        <v>99</v>
      </c>
      <c r="C38" s="688">
        <f>'2. SOFP'!E39</f>
        <v>229983.9425461124</v>
      </c>
      <c r="D38" s="310"/>
      <c r="E38" s="309"/>
    </row>
    <row r="39" spans="1:5" ht="21" x14ac:dyDescent="0.3">
      <c r="A39" s="100">
        <v>16</v>
      </c>
      <c r="B39" s="113" t="s">
        <v>124</v>
      </c>
      <c r="C39" s="688">
        <f>'2. SOFP'!E40</f>
        <v>0</v>
      </c>
      <c r="D39" s="310"/>
      <c r="E39" s="309"/>
    </row>
    <row r="40" spans="1:5" x14ac:dyDescent="0.3">
      <c r="A40" s="100">
        <v>17</v>
      </c>
      <c r="B40" s="113" t="s">
        <v>125</v>
      </c>
      <c r="C40" s="683">
        <f>SUM(C41:C44)</f>
        <v>80599137.815296873</v>
      </c>
      <c r="D40" s="310"/>
      <c r="E40" s="309"/>
    </row>
    <row r="41" spans="1:5" x14ac:dyDescent="0.3">
      <c r="A41" s="100">
        <v>17.100000000000001</v>
      </c>
      <c r="B41" s="122" t="s">
        <v>126</v>
      </c>
      <c r="C41" s="681">
        <f>'2. SOFP'!E42</f>
        <v>80346063.015296876</v>
      </c>
      <c r="D41" s="310"/>
      <c r="E41" s="309"/>
    </row>
    <row r="42" spans="1:5" x14ac:dyDescent="0.3">
      <c r="A42" s="319">
        <v>17.2</v>
      </c>
      <c r="B42" s="320" t="s">
        <v>127</v>
      </c>
      <c r="C42" s="681">
        <f>'2. SOFP'!E43</f>
        <v>0</v>
      </c>
      <c r="D42" s="314"/>
      <c r="E42" s="309"/>
    </row>
    <row r="43" spans="1:5" x14ac:dyDescent="0.3">
      <c r="A43" s="100">
        <v>17.3</v>
      </c>
      <c r="B43" s="321" t="s">
        <v>128</v>
      </c>
      <c r="C43" s="681">
        <f>'2. SOFP'!E44</f>
        <v>0</v>
      </c>
      <c r="D43" s="322"/>
      <c r="E43" s="309"/>
    </row>
    <row r="44" spans="1:5" x14ac:dyDescent="0.3">
      <c r="A44" s="100">
        <v>17.399999999999999</v>
      </c>
      <c r="B44" s="321" t="s">
        <v>129</v>
      </c>
      <c r="C44" s="681">
        <f>'2. SOFP'!E45</f>
        <v>253074.80000000005</v>
      </c>
      <c r="D44" s="322"/>
      <c r="E44" s="309"/>
    </row>
    <row r="45" spans="1:5" x14ac:dyDescent="0.3">
      <c r="A45" s="100">
        <v>18</v>
      </c>
      <c r="B45" s="126" t="s">
        <v>130</v>
      </c>
      <c r="C45" s="681">
        <f>'2. SOFP'!E46</f>
        <v>50842.161605623209</v>
      </c>
      <c r="D45" s="322"/>
      <c r="E45" s="316"/>
    </row>
    <row r="46" spans="1:5" x14ac:dyDescent="0.3">
      <c r="A46" s="100">
        <v>19</v>
      </c>
      <c r="B46" s="126" t="s">
        <v>131</v>
      </c>
      <c r="C46" s="689">
        <f>SUM(C47:C48)</f>
        <v>1752441.5988421449</v>
      </c>
      <c r="D46" s="3"/>
    </row>
    <row r="47" spans="1:5" x14ac:dyDescent="0.3">
      <c r="A47" s="100">
        <v>19.100000000000001</v>
      </c>
      <c r="B47" s="323" t="s">
        <v>132</v>
      </c>
      <c r="C47" s="690">
        <f>'2. SOFP'!E48</f>
        <v>0</v>
      </c>
      <c r="D47" s="3"/>
    </row>
    <row r="48" spans="1:5" x14ac:dyDescent="0.3">
      <c r="A48" s="100">
        <v>19.2</v>
      </c>
      <c r="B48" s="323" t="s">
        <v>133</v>
      </c>
      <c r="C48" s="690">
        <f>'2. SOFP'!E49</f>
        <v>1752441.5988421449</v>
      </c>
      <c r="D48" s="3"/>
    </row>
    <row r="49" spans="1:4" x14ac:dyDescent="0.3">
      <c r="A49" s="100">
        <v>20</v>
      </c>
      <c r="B49" s="117" t="s">
        <v>134</v>
      </c>
      <c r="C49" s="691">
        <f>'2. SOFP'!E50</f>
        <v>3092397.84</v>
      </c>
      <c r="D49" s="3"/>
    </row>
    <row r="50" spans="1:4" x14ac:dyDescent="0.3">
      <c r="A50" s="100">
        <v>20.100000000000001</v>
      </c>
      <c r="B50" s="117" t="s">
        <v>386</v>
      </c>
      <c r="C50" s="691">
        <v>2875000</v>
      </c>
      <c r="D50" s="317" t="s">
        <v>387</v>
      </c>
    </row>
    <row r="51" spans="1:4" x14ac:dyDescent="0.3">
      <c r="A51" s="100">
        <v>21</v>
      </c>
      <c r="B51" s="106" t="s">
        <v>135</v>
      </c>
      <c r="C51" s="690">
        <f>'2. SOFP'!E51</f>
        <v>741909.66999999981</v>
      </c>
      <c r="D51" s="3"/>
    </row>
    <row r="52" spans="1:4" x14ac:dyDescent="0.3">
      <c r="A52" s="100">
        <v>21.1</v>
      </c>
      <c r="B52" s="104" t="s">
        <v>136</v>
      </c>
      <c r="C52" s="690">
        <f>'2. SOFP'!E52</f>
        <v>0</v>
      </c>
      <c r="D52" s="3"/>
    </row>
    <row r="53" spans="1:4" x14ac:dyDescent="0.3">
      <c r="A53" s="100">
        <v>22</v>
      </c>
      <c r="B53" s="117" t="s">
        <v>137</v>
      </c>
      <c r="C53" s="689">
        <f>SUM(C37,C39,C40,C45,C46,C49,C51)</f>
        <v>86466713.028290763</v>
      </c>
      <c r="D53" s="3"/>
    </row>
    <row r="54" spans="1:4" x14ac:dyDescent="0.3">
      <c r="A54" s="100"/>
      <c r="B54" s="119" t="s">
        <v>138</v>
      </c>
      <c r="C54" s="690"/>
      <c r="D54" s="3"/>
    </row>
    <row r="55" spans="1:4" x14ac:dyDescent="0.3">
      <c r="A55" s="100">
        <v>23</v>
      </c>
      <c r="B55" s="117" t="s">
        <v>139</v>
      </c>
      <c r="C55" s="692">
        <f>'2. SOFP'!E55</f>
        <v>62946400</v>
      </c>
      <c r="D55" s="3"/>
    </row>
    <row r="56" spans="1:4" x14ac:dyDescent="0.3">
      <c r="A56" s="100">
        <v>24</v>
      </c>
      <c r="B56" s="117" t="s">
        <v>140</v>
      </c>
      <c r="C56" s="692">
        <f>'2. SOFP'!E56</f>
        <v>0</v>
      </c>
      <c r="D56" s="3"/>
    </row>
    <row r="57" spans="1:4" x14ac:dyDescent="0.3">
      <c r="A57" s="100">
        <v>25</v>
      </c>
      <c r="B57" s="117" t="s">
        <v>141</v>
      </c>
      <c r="C57" s="692">
        <f>'2. SOFP'!E57</f>
        <v>0</v>
      </c>
      <c r="D57" s="3"/>
    </row>
    <row r="58" spans="1:4" x14ac:dyDescent="0.3">
      <c r="A58" s="100">
        <v>26</v>
      </c>
      <c r="B58" s="126" t="s">
        <v>142</v>
      </c>
      <c r="C58" s="692">
        <f>'2. SOFP'!E58</f>
        <v>0</v>
      </c>
      <c r="D58" s="3"/>
    </row>
    <row r="59" spans="1:4" x14ac:dyDescent="0.3">
      <c r="A59" s="100">
        <v>27</v>
      </c>
      <c r="B59" s="126" t="s">
        <v>143</v>
      </c>
      <c r="C59" s="692">
        <f>SUM(C60:C61)</f>
        <v>0</v>
      </c>
      <c r="D59" s="3"/>
    </row>
    <row r="60" spans="1:4" x14ac:dyDescent="0.3">
      <c r="A60" s="100">
        <v>27.1</v>
      </c>
      <c r="B60" s="323" t="s">
        <v>144</v>
      </c>
      <c r="C60" s="693">
        <f>'2. SOFP'!E60</f>
        <v>0</v>
      </c>
      <c r="D60" s="3"/>
    </row>
    <row r="61" spans="1:4" x14ac:dyDescent="0.3">
      <c r="A61" s="100">
        <v>27.2</v>
      </c>
      <c r="B61" s="321" t="s">
        <v>145</v>
      </c>
      <c r="C61" s="693">
        <f>'2. SOFP'!E61</f>
        <v>0</v>
      </c>
      <c r="D61" s="3"/>
    </row>
    <row r="62" spans="1:4" x14ac:dyDescent="0.3">
      <c r="A62" s="100">
        <v>28</v>
      </c>
      <c r="B62" s="106" t="s">
        <v>146</v>
      </c>
      <c r="C62" s="693">
        <f>'2. SOFP'!E62</f>
        <v>0</v>
      </c>
      <c r="D62" s="3"/>
    </row>
    <row r="63" spans="1:4" x14ac:dyDescent="0.3">
      <c r="A63" s="100">
        <v>29</v>
      </c>
      <c r="B63" s="126" t="s">
        <v>147</v>
      </c>
      <c r="C63" s="692">
        <f>SUM(C64:C66)</f>
        <v>4352500.4589957595</v>
      </c>
      <c r="D63" s="3"/>
    </row>
    <row r="64" spans="1:4" x14ac:dyDescent="0.3">
      <c r="A64" s="100">
        <v>29.1</v>
      </c>
      <c r="B64" s="324" t="s">
        <v>148</v>
      </c>
      <c r="C64" s="693">
        <f>'2. SOFP'!E64</f>
        <v>4352500.4589957595</v>
      </c>
      <c r="D64" s="3"/>
    </row>
    <row r="65" spans="1:4" ht="24" customHeight="1" x14ac:dyDescent="0.3">
      <c r="A65" s="100">
        <v>29.2</v>
      </c>
      <c r="B65" s="323" t="s">
        <v>149</v>
      </c>
      <c r="C65" s="693">
        <f>'2. SOFP'!E65</f>
        <v>0</v>
      </c>
      <c r="D65" s="3"/>
    </row>
    <row r="66" spans="1:4" ht="21.95" customHeight="1" x14ac:dyDescent="0.3">
      <c r="A66" s="100">
        <v>29.3</v>
      </c>
      <c r="B66" s="325" t="s">
        <v>150</v>
      </c>
      <c r="C66" s="693">
        <f>'2. SOFP'!E66</f>
        <v>0</v>
      </c>
      <c r="D66" s="3"/>
    </row>
    <row r="67" spans="1:4" x14ac:dyDescent="0.3">
      <c r="A67" s="100">
        <v>30</v>
      </c>
      <c r="B67" s="126" t="s">
        <v>151</v>
      </c>
      <c r="C67" s="693">
        <f>'2. SOFP'!E67</f>
        <v>-12695947.58112132</v>
      </c>
      <c r="D67" s="3"/>
    </row>
    <row r="68" spans="1:4" x14ac:dyDescent="0.3">
      <c r="A68" s="100">
        <v>31</v>
      </c>
      <c r="B68" s="125" t="s">
        <v>152</v>
      </c>
      <c r="C68" s="692">
        <f>SUM(C55,C56,C57,C58,C59,C62,C63,C67)</f>
        <v>54602952.877874441</v>
      </c>
      <c r="D68" s="3"/>
    </row>
    <row r="69" spans="1:4" x14ac:dyDescent="0.3">
      <c r="A69" s="100">
        <v>32</v>
      </c>
      <c r="B69" s="126" t="s">
        <v>153</v>
      </c>
      <c r="C69" s="692">
        <f>SUM(C53,C68)</f>
        <v>141069665.90616521</v>
      </c>
      <c r="D69" s="3"/>
    </row>
    <row r="70" spans="1:4" x14ac:dyDescent="0.3">
      <c r="C70" s="326"/>
    </row>
    <row r="71" spans="1:4" x14ac:dyDescent="0.3">
      <c r="C71" s="833"/>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659C-F782-49EE-9B6B-4A72E90321D1}">
  <dimension ref="A1:S26"/>
  <sheetViews>
    <sheetView workbookViewId="0">
      <pane xSplit="2" ySplit="7" topLeftCell="J8" activePane="bottomRight" state="frozen"/>
      <selection pane="topRight" activeCell="C1" sqref="C1"/>
      <selection pane="bottomLeft" activeCell="A8" sqref="A8"/>
      <selection pane="bottomRight" activeCell="S22" sqref="S22"/>
    </sheetView>
  </sheetViews>
  <sheetFormatPr defaultColWidth="9.140625" defaultRowHeight="12.75" x14ac:dyDescent="0.2"/>
  <cols>
    <col min="1" max="1" width="10.5703125" style="19" bestFit="1" customWidth="1"/>
    <col min="2" max="2" width="95" style="19" customWidth="1"/>
    <col min="3" max="3" width="13.85546875" style="19" customWidth="1"/>
    <col min="4" max="4" width="13.28515625" style="19" bestFit="1" customWidth="1"/>
    <col min="5" max="5" width="14" style="19" customWidth="1"/>
    <col min="6" max="6" width="13.28515625" style="19" bestFit="1" customWidth="1"/>
    <col min="7" max="7" width="12.7109375" style="19" customWidth="1"/>
    <col min="8" max="8" width="13.28515625" style="19" bestFit="1" customWidth="1"/>
    <col min="9" max="9" width="12.42578125" style="19" customWidth="1"/>
    <col min="10" max="10" width="13.28515625" style="19" bestFit="1" customWidth="1"/>
    <col min="11" max="11" width="11.5703125" style="19" customWidth="1"/>
    <col min="12" max="12" width="13.28515625" style="19" bestFit="1" customWidth="1"/>
    <col min="13" max="13" width="13.42578125" style="19" customWidth="1"/>
    <col min="14" max="14" width="13.28515625" style="19" bestFit="1" customWidth="1"/>
    <col min="15" max="15" width="14" style="19" customWidth="1"/>
    <col min="16" max="16" width="13.28515625" style="19" bestFit="1" customWidth="1"/>
    <col min="17" max="17" width="13" style="19" customWidth="1"/>
    <col min="18" max="18" width="14" style="19" customWidth="1"/>
    <col min="19" max="19" width="31.5703125" style="19" bestFit="1" customWidth="1"/>
    <col min="20" max="16384" width="9.140625" style="163"/>
  </cols>
  <sheetData>
    <row r="1" spans="1:19" x14ac:dyDescent="0.2">
      <c r="A1" s="19" t="s">
        <v>41</v>
      </c>
      <c r="B1" s="19" t="str">
        <f>Info!C2</f>
        <v>სს სილქ ბანკი</v>
      </c>
    </row>
    <row r="2" spans="1:19" x14ac:dyDescent="0.2">
      <c r="A2" s="19" t="s">
        <v>42</v>
      </c>
      <c r="B2" s="23">
        <f>'1. key ratios'!B2</f>
        <v>45107</v>
      </c>
    </row>
    <row r="4" spans="1:19" ht="26.25" thickBot="1" x14ac:dyDescent="0.25">
      <c r="A4" s="248" t="s">
        <v>388</v>
      </c>
      <c r="B4" s="327" t="s">
        <v>389</v>
      </c>
    </row>
    <row r="5" spans="1:19" x14ac:dyDescent="0.2">
      <c r="A5" s="328"/>
      <c r="B5" s="329"/>
      <c r="C5" s="330" t="s">
        <v>288</v>
      </c>
      <c r="D5" s="330" t="s">
        <v>289</v>
      </c>
      <c r="E5" s="330" t="s">
        <v>290</v>
      </c>
      <c r="F5" s="330" t="s">
        <v>390</v>
      </c>
      <c r="G5" s="330" t="s">
        <v>391</v>
      </c>
      <c r="H5" s="330" t="s">
        <v>392</v>
      </c>
      <c r="I5" s="330" t="s">
        <v>393</v>
      </c>
      <c r="J5" s="330" t="s">
        <v>394</v>
      </c>
      <c r="K5" s="330" t="s">
        <v>395</v>
      </c>
      <c r="L5" s="330" t="s">
        <v>396</v>
      </c>
      <c r="M5" s="330" t="s">
        <v>397</v>
      </c>
      <c r="N5" s="330" t="s">
        <v>398</v>
      </c>
      <c r="O5" s="330" t="s">
        <v>399</v>
      </c>
      <c r="P5" s="330" t="s">
        <v>400</v>
      </c>
      <c r="Q5" s="330" t="s">
        <v>401</v>
      </c>
      <c r="R5" s="331" t="s">
        <v>402</v>
      </c>
      <c r="S5" s="332" t="s">
        <v>403</v>
      </c>
    </row>
    <row r="6" spans="1:19" ht="46.5" customHeight="1" x14ac:dyDescent="0.2">
      <c r="A6" s="333"/>
      <c r="B6" s="753" t="s">
        <v>404</v>
      </c>
      <c r="C6" s="749">
        <v>0</v>
      </c>
      <c r="D6" s="750"/>
      <c r="E6" s="749">
        <v>0.2</v>
      </c>
      <c r="F6" s="750"/>
      <c r="G6" s="749">
        <v>0.35</v>
      </c>
      <c r="H6" s="750"/>
      <c r="I6" s="749">
        <v>0.5</v>
      </c>
      <c r="J6" s="750"/>
      <c r="K6" s="749">
        <v>0.75</v>
      </c>
      <c r="L6" s="750"/>
      <c r="M6" s="749">
        <v>1</v>
      </c>
      <c r="N6" s="750"/>
      <c r="O6" s="749">
        <v>1.5</v>
      </c>
      <c r="P6" s="750"/>
      <c r="Q6" s="749">
        <v>2.5</v>
      </c>
      <c r="R6" s="750"/>
      <c r="S6" s="751" t="s">
        <v>405</v>
      </c>
    </row>
    <row r="7" spans="1:19" x14ac:dyDescent="0.2">
      <c r="A7" s="333"/>
      <c r="B7" s="754"/>
      <c r="C7" s="334" t="s">
        <v>406</v>
      </c>
      <c r="D7" s="334" t="s">
        <v>407</v>
      </c>
      <c r="E7" s="334" t="s">
        <v>406</v>
      </c>
      <c r="F7" s="334" t="s">
        <v>407</v>
      </c>
      <c r="G7" s="334" t="s">
        <v>406</v>
      </c>
      <c r="H7" s="334" t="s">
        <v>407</v>
      </c>
      <c r="I7" s="334" t="s">
        <v>406</v>
      </c>
      <c r="J7" s="334" t="s">
        <v>407</v>
      </c>
      <c r="K7" s="334" t="s">
        <v>406</v>
      </c>
      <c r="L7" s="334" t="s">
        <v>407</v>
      </c>
      <c r="M7" s="334" t="s">
        <v>406</v>
      </c>
      <c r="N7" s="334" t="s">
        <v>407</v>
      </c>
      <c r="O7" s="334" t="s">
        <v>406</v>
      </c>
      <c r="P7" s="334" t="s">
        <v>407</v>
      </c>
      <c r="Q7" s="334" t="s">
        <v>406</v>
      </c>
      <c r="R7" s="334" t="s">
        <v>407</v>
      </c>
      <c r="S7" s="752"/>
    </row>
    <row r="8" spans="1:19" x14ac:dyDescent="0.2">
      <c r="A8" s="335">
        <v>1</v>
      </c>
      <c r="B8" s="336" t="s">
        <v>408</v>
      </c>
      <c r="C8" s="337">
        <v>29638684.408634003</v>
      </c>
      <c r="D8" s="337"/>
      <c r="E8" s="337">
        <v>0</v>
      </c>
      <c r="F8" s="338"/>
      <c r="G8" s="337">
        <v>0</v>
      </c>
      <c r="H8" s="337"/>
      <c r="I8" s="337">
        <v>0</v>
      </c>
      <c r="J8" s="337"/>
      <c r="K8" s="337">
        <v>0</v>
      </c>
      <c r="L8" s="337"/>
      <c r="M8" s="337">
        <v>1968637.9200000013</v>
      </c>
      <c r="N8" s="337"/>
      <c r="O8" s="337">
        <v>0</v>
      </c>
      <c r="P8" s="337"/>
      <c r="Q8" s="337">
        <v>0</v>
      </c>
      <c r="R8" s="338"/>
      <c r="S8" s="339">
        <f>$C$6*SUM(C8:D8)+$E$6*SUM(E8:F8)+$G$6*SUM(G8:H8)+$I$6*SUM(I8:J8)+$K$6*SUM(K8:L8)+$M$6*SUM(M8:N8)+$O$6*SUM(O8:P8)+$Q$6*SUM(Q8:R8)</f>
        <v>1968637.9200000013</v>
      </c>
    </row>
    <row r="9" spans="1:19" x14ac:dyDescent="0.2">
      <c r="A9" s="335">
        <v>2</v>
      </c>
      <c r="B9" s="336" t="s">
        <v>409</v>
      </c>
      <c r="C9" s="337">
        <v>0</v>
      </c>
      <c r="D9" s="337"/>
      <c r="E9" s="337">
        <v>0</v>
      </c>
      <c r="F9" s="337"/>
      <c r="G9" s="337">
        <v>0</v>
      </c>
      <c r="H9" s="337"/>
      <c r="I9" s="337">
        <v>0</v>
      </c>
      <c r="J9" s="337"/>
      <c r="K9" s="337">
        <v>0</v>
      </c>
      <c r="L9" s="337"/>
      <c r="M9" s="337">
        <v>0</v>
      </c>
      <c r="N9" s="337"/>
      <c r="O9" s="337">
        <v>0</v>
      </c>
      <c r="P9" s="337"/>
      <c r="Q9" s="337">
        <v>0</v>
      </c>
      <c r="R9" s="338"/>
      <c r="S9" s="339">
        <f t="shared" ref="S9:S21" si="0">$C$6*SUM(C9:D9)+$E$6*SUM(E9:F9)+$G$6*SUM(G9:H9)+$I$6*SUM(I9:J9)+$K$6*SUM(K9:L9)+$M$6*SUM(M9:N9)+$O$6*SUM(O9:P9)+$Q$6*SUM(Q9:R9)</f>
        <v>0</v>
      </c>
    </row>
    <row r="10" spans="1:19" x14ac:dyDescent="0.2">
      <c r="A10" s="335">
        <v>3</v>
      </c>
      <c r="B10" s="336" t="s">
        <v>410</v>
      </c>
      <c r="C10" s="337">
        <v>0</v>
      </c>
      <c r="D10" s="337"/>
      <c r="E10" s="337">
        <v>0</v>
      </c>
      <c r="F10" s="337"/>
      <c r="G10" s="337">
        <v>0</v>
      </c>
      <c r="H10" s="337"/>
      <c r="I10" s="337">
        <v>0</v>
      </c>
      <c r="J10" s="337"/>
      <c r="K10" s="337">
        <v>0</v>
      </c>
      <c r="L10" s="337"/>
      <c r="M10" s="337">
        <v>0</v>
      </c>
      <c r="N10" s="337"/>
      <c r="O10" s="337">
        <v>0</v>
      </c>
      <c r="P10" s="337"/>
      <c r="Q10" s="337">
        <v>0</v>
      </c>
      <c r="R10" s="338"/>
      <c r="S10" s="339">
        <f t="shared" si="0"/>
        <v>0</v>
      </c>
    </row>
    <row r="11" spans="1:19" x14ac:dyDescent="0.2">
      <c r="A11" s="335">
        <v>4</v>
      </c>
      <c r="B11" s="336" t="s">
        <v>411</v>
      </c>
      <c r="C11" s="337">
        <v>0</v>
      </c>
      <c r="D11" s="337"/>
      <c r="E11" s="337">
        <v>0</v>
      </c>
      <c r="F11" s="337"/>
      <c r="G11" s="337">
        <v>0</v>
      </c>
      <c r="H11" s="337"/>
      <c r="I11" s="337">
        <v>0</v>
      </c>
      <c r="J11" s="337"/>
      <c r="K11" s="337">
        <v>0</v>
      </c>
      <c r="L11" s="337"/>
      <c r="M11" s="337">
        <v>0</v>
      </c>
      <c r="N11" s="337"/>
      <c r="O11" s="337">
        <v>0</v>
      </c>
      <c r="P11" s="337"/>
      <c r="Q11" s="337">
        <v>0</v>
      </c>
      <c r="R11" s="338"/>
      <c r="S11" s="339">
        <f t="shared" si="0"/>
        <v>0</v>
      </c>
    </row>
    <row r="12" spans="1:19" x14ac:dyDescent="0.2">
      <c r="A12" s="335">
        <v>5</v>
      </c>
      <c r="B12" s="336" t="s">
        <v>412</v>
      </c>
      <c r="C12" s="337">
        <v>0</v>
      </c>
      <c r="D12" s="337"/>
      <c r="E12" s="337">
        <v>0</v>
      </c>
      <c r="F12" s="337"/>
      <c r="G12" s="337">
        <v>0</v>
      </c>
      <c r="H12" s="337"/>
      <c r="I12" s="337">
        <v>0</v>
      </c>
      <c r="J12" s="337"/>
      <c r="K12" s="337">
        <v>0</v>
      </c>
      <c r="L12" s="337"/>
      <c r="M12" s="337">
        <v>0</v>
      </c>
      <c r="N12" s="337"/>
      <c r="O12" s="337">
        <v>0</v>
      </c>
      <c r="P12" s="337"/>
      <c r="Q12" s="337">
        <v>0</v>
      </c>
      <c r="R12" s="338"/>
      <c r="S12" s="339">
        <f t="shared" si="0"/>
        <v>0</v>
      </c>
    </row>
    <row r="13" spans="1:19" x14ac:dyDescent="0.2">
      <c r="A13" s="335">
        <v>6</v>
      </c>
      <c r="B13" s="336" t="s">
        <v>413</v>
      </c>
      <c r="C13" s="337">
        <v>0</v>
      </c>
      <c r="D13" s="337"/>
      <c r="E13" s="337">
        <v>59355614.910000004</v>
      </c>
      <c r="F13" s="337"/>
      <c r="G13" s="337">
        <v>0</v>
      </c>
      <c r="H13" s="337"/>
      <c r="I13" s="337">
        <v>0</v>
      </c>
      <c r="J13" s="337"/>
      <c r="K13" s="337">
        <v>0</v>
      </c>
      <c r="L13" s="337"/>
      <c r="M13" s="337">
        <v>1653645.2499999925</v>
      </c>
      <c r="N13" s="337"/>
      <c r="O13" s="337">
        <v>0</v>
      </c>
      <c r="P13" s="337"/>
      <c r="Q13" s="337">
        <v>0</v>
      </c>
      <c r="R13" s="338"/>
      <c r="S13" s="339">
        <f t="shared" si="0"/>
        <v>13524768.231999993</v>
      </c>
    </row>
    <row r="14" spans="1:19" x14ac:dyDescent="0.2">
      <c r="A14" s="335">
        <v>7</v>
      </c>
      <c r="B14" s="336" t="s">
        <v>414</v>
      </c>
      <c r="C14" s="337">
        <v>0</v>
      </c>
      <c r="D14" s="337"/>
      <c r="E14" s="337">
        <v>0</v>
      </c>
      <c r="F14" s="337"/>
      <c r="G14" s="337">
        <v>0</v>
      </c>
      <c r="H14" s="337"/>
      <c r="I14" s="337">
        <v>0</v>
      </c>
      <c r="J14" s="337"/>
      <c r="K14" s="337">
        <v>0</v>
      </c>
      <c r="L14" s="337"/>
      <c r="M14" s="337">
        <v>12950468.73</v>
      </c>
      <c r="N14" s="337">
        <v>759877</v>
      </c>
      <c r="O14" s="337">
        <v>0</v>
      </c>
      <c r="P14" s="337"/>
      <c r="Q14" s="337">
        <v>0</v>
      </c>
      <c r="R14" s="338"/>
      <c r="S14" s="339">
        <f t="shared" si="0"/>
        <v>13710345.73</v>
      </c>
    </row>
    <row r="15" spans="1:19" x14ac:dyDescent="0.2">
      <c r="A15" s="335">
        <v>8</v>
      </c>
      <c r="B15" s="340" t="s">
        <v>415</v>
      </c>
      <c r="C15" s="337">
        <v>0</v>
      </c>
      <c r="D15" s="337"/>
      <c r="E15" s="337">
        <v>0</v>
      </c>
      <c r="F15" s="337"/>
      <c r="G15" s="337">
        <v>0</v>
      </c>
      <c r="H15" s="337"/>
      <c r="I15" s="337">
        <v>0</v>
      </c>
      <c r="J15" s="337"/>
      <c r="K15" s="337">
        <v>0</v>
      </c>
      <c r="L15" s="337"/>
      <c r="M15" s="337">
        <v>7506709.3799999999</v>
      </c>
      <c r="N15" s="337"/>
      <c r="O15" s="337">
        <v>0</v>
      </c>
      <c r="P15" s="337"/>
      <c r="Q15" s="337">
        <v>0</v>
      </c>
      <c r="R15" s="338"/>
      <c r="S15" s="339">
        <f t="shared" si="0"/>
        <v>7506709.3799999999</v>
      </c>
    </row>
    <row r="16" spans="1:19" x14ac:dyDescent="0.2">
      <c r="A16" s="335">
        <v>9</v>
      </c>
      <c r="B16" s="340" t="s">
        <v>416</v>
      </c>
      <c r="C16" s="337">
        <v>0</v>
      </c>
      <c r="D16" s="337"/>
      <c r="E16" s="337">
        <v>0</v>
      </c>
      <c r="F16" s="337"/>
      <c r="G16" s="337">
        <v>0</v>
      </c>
      <c r="H16" s="337"/>
      <c r="I16" s="337">
        <v>0</v>
      </c>
      <c r="J16" s="337"/>
      <c r="K16" s="337">
        <v>0</v>
      </c>
      <c r="L16" s="337"/>
      <c r="M16" s="337">
        <v>0</v>
      </c>
      <c r="N16" s="337"/>
      <c r="O16" s="337">
        <v>0</v>
      </c>
      <c r="P16" s="337"/>
      <c r="Q16" s="337">
        <v>0</v>
      </c>
      <c r="R16" s="338"/>
      <c r="S16" s="339">
        <f t="shared" si="0"/>
        <v>0</v>
      </c>
    </row>
    <row r="17" spans="1:19" x14ac:dyDescent="0.2">
      <c r="A17" s="335">
        <v>10</v>
      </c>
      <c r="B17" s="340" t="s">
        <v>417</v>
      </c>
      <c r="C17" s="337">
        <v>0</v>
      </c>
      <c r="D17" s="337"/>
      <c r="E17" s="337">
        <v>0</v>
      </c>
      <c r="F17" s="337"/>
      <c r="G17" s="337">
        <v>0</v>
      </c>
      <c r="H17" s="337"/>
      <c r="I17" s="337">
        <v>0</v>
      </c>
      <c r="J17" s="337"/>
      <c r="K17" s="337">
        <v>0</v>
      </c>
      <c r="L17" s="337"/>
      <c r="M17" s="337">
        <v>706120.32</v>
      </c>
      <c r="N17" s="337"/>
      <c r="O17" s="337">
        <v>0</v>
      </c>
      <c r="P17" s="337"/>
      <c r="Q17" s="337">
        <v>0</v>
      </c>
      <c r="R17" s="338"/>
      <c r="S17" s="339">
        <f t="shared" si="0"/>
        <v>706120.32</v>
      </c>
    </row>
    <row r="18" spans="1:19" x14ac:dyDescent="0.2">
      <c r="A18" s="335">
        <v>11</v>
      </c>
      <c r="B18" s="340" t="s">
        <v>418</v>
      </c>
      <c r="C18" s="337">
        <v>0</v>
      </c>
      <c r="D18" s="337"/>
      <c r="E18" s="337">
        <v>0</v>
      </c>
      <c r="F18" s="337"/>
      <c r="G18" s="337">
        <v>0</v>
      </c>
      <c r="H18" s="337"/>
      <c r="I18" s="337">
        <v>0</v>
      </c>
      <c r="J18" s="337"/>
      <c r="K18" s="337">
        <v>0</v>
      </c>
      <c r="L18" s="337"/>
      <c r="M18" s="337">
        <v>0</v>
      </c>
      <c r="N18" s="337"/>
      <c r="O18" s="337">
        <v>0</v>
      </c>
      <c r="P18" s="337"/>
      <c r="Q18" s="337">
        <v>0</v>
      </c>
      <c r="R18" s="338"/>
      <c r="S18" s="339">
        <f t="shared" si="0"/>
        <v>0</v>
      </c>
    </row>
    <row r="19" spans="1:19" x14ac:dyDescent="0.2">
      <c r="A19" s="335">
        <v>12</v>
      </c>
      <c r="B19" s="340" t="s">
        <v>419</v>
      </c>
      <c r="C19" s="337">
        <v>0</v>
      </c>
      <c r="D19" s="337"/>
      <c r="E19" s="337">
        <v>0</v>
      </c>
      <c r="F19" s="337"/>
      <c r="G19" s="337">
        <v>0</v>
      </c>
      <c r="H19" s="337"/>
      <c r="I19" s="337">
        <v>0</v>
      </c>
      <c r="J19" s="337"/>
      <c r="K19" s="337">
        <v>0</v>
      </c>
      <c r="L19" s="337"/>
      <c r="M19" s="337">
        <v>0</v>
      </c>
      <c r="N19" s="337"/>
      <c r="O19" s="337">
        <v>0</v>
      </c>
      <c r="P19" s="337"/>
      <c r="Q19" s="337">
        <v>0</v>
      </c>
      <c r="R19" s="338"/>
      <c r="S19" s="339">
        <f t="shared" si="0"/>
        <v>0</v>
      </c>
    </row>
    <row r="20" spans="1:19" x14ac:dyDescent="0.2">
      <c r="A20" s="335">
        <v>13</v>
      </c>
      <c r="B20" s="340" t="s">
        <v>420</v>
      </c>
      <c r="C20" s="337">
        <v>0</v>
      </c>
      <c r="D20" s="337"/>
      <c r="E20" s="337">
        <v>0</v>
      </c>
      <c r="F20" s="337"/>
      <c r="G20" s="337">
        <v>0</v>
      </c>
      <c r="H20" s="337"/>
      <c r="I20" s="337">
        <v>0</v>
      </c>
      <c r="J20" s="337"/>
      <c r="K20" s="337">
        <v>0</v>
      </c>
      <c r="L20" s="337"/>
      <c r="M20" s="337">
        <v>0</v>
      </c>
      <c r="N20" s="337"/>
      <c r="O20" s="337">
        <v>0</v>
      </c>
      <c r="P20" s="337"/>
      <c r="Q20" s="337">
        <v>0</v>
      </c>
      <c r="R20" s="338"/>
      <c r="S20" s="339">
        <f t="shared" si="0"/>
        <v>0</v>
      </c>
    </row>
    <row r="21" spans="1:19" x14ac:dyDescent="0.2">
      <c r="A21" s="335">
        <v>14</v>
      </c>
      <c r="B21" s="340" t="s">
        <v>421</v>
      </c>
      <c r="C21" s="337">
        <v>2056859.95</v>
      </c>
      <c r="D21" s="337"/>
      <c r="E21" s="337">
        <v>161814.05000000005</v>
      </c>
      <c r="F21" s="337"/>
      <c r="G21" s="337">
        <v>0</v>
      </c>
      <c r="H21" s="337"/>
      <c r="I21" s="337">
        <v>0</v>
      </c>
      <c r="J21" s="337"/>
      <c r="K21" s="337">
        <v>0</v>
      </c>
      <c r="L21" s="337"/>
      <c r="M21" s="337">
        <v>24275271.901507363</v>
      </c>
      <c r="N21" s="337"/>
      <c r="O21" s="337">
        <v>0</v>
      </c>
      <c r="P21" s="337"/>
      <c r="Q21" s="337">
        <v>0</v>
      </c>
      <c r="R21" s="338"/>
      <c r="S21" s="339">
        <f t="shared" si="0"/>
        <v>24307634.711507361</v>
      </c>
    </row>
    <row r="22" spans="1:19" ht="13.5" thickBot="1" x14ac:dyDescent="0.25">
      <c r="A22" s="341"/>
      <c r="B22" s="342" t="s">
        <v>92</v>
      </c>
      <c r="C22" s="343">
        <f>SUM(C8:C21)</f>
        <v>31695544.358634003</v>
      </c>
      <c r="D22" s="343">
        <f t="shared" ref="D22:S22" si="1">SUM(D8:D21)</f>
        <v>0</v>
      </c>
      <c r="E22" s="343">
        <f t="shared" si="1"/>
        <v>59517428.960000001</v>
      </c>
      <c r="F22" s="343">
        <f t="shared" si="1"/>
        <v>0</v>
      </c>
      <c r="G22" s="343">
        <f t="shared" si="1"/>
        <v>0</v>
      </c>
      <c r="H22" s="343">
        <f t="shared" si="1"/>
        <v>0</v>
      </c>
      <c r="I22" s="343">
        <f t="shared" si="1"/>
        <v>0</v>
      </c>
      <c r="J22" s="343">
        <f t="shared" si="1"/>
        <v>0</v>
      </c>
      <c r="K22" s="343">
        <f t="shared" si="1"/>
        <v>0</v>
      </c>
      <c r="L22" s="343">
        <f t="shared" si="1"/>
        <v>0</v>
      </c>
      <c r="M22" s="343">
        <f t="shared" si="1"/>
        <v>49060853.501507357</v>
      </c>
      <c r="N22" s="343">
        <f t="shared" si="1"/>
        <v>759877</v>
      </c>
      <c r="O22" s="343">
        <f t="shared" si="1"/>
        <v>0</v>
      </c>
      <c r="P22" s="343">
        <f t="shared" si="1"/>
        <v>0</v>
      </c>
      <c r="Q22" s="343">
        <f t="shared" si="1"/>
        <v>0</v>
      </c>
      <c r="R22" s="343">
        <f t="shared" si="1"/>
        <v>0</v>
      </c>
      <c r="S22" s="344">
        <f t="shared" si="1"/>
        <v>61724216.293507352</v>
      </c>
    </row>
    <row r="24" spans="1:19" x14ac:dyDescent="0.2">
      <c r="C24" s="645"/>
      <c r="E24" s="645"/>
      <c r="G24" s="645"/>
      <c r="I24" s="645"/>
      <c r="K24" s="645"/>
      <c r="M24" s="645"/>
      <c r="N24" s="645"/>
      <c r="O24" s="645"/>
      <c r="Q24" s="645"/>
      <c r="R24" s="646"/>
      <c r="S24" s="647"/>
    </row>
    <row r="25" spans="1:19" x14ac:dyDescent="0.2">
      <c r="R25" s="648"/>
      <c r="S25" s="645"/>
    </row>
    <row r="26" spans="1:19" x14ac:dyDescent="0.2">
      <c r="R26" s="645"/>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AF8CC-118A-4673-BC34-F2A51F4D7288}">
  <dimension ref="A1:V28"/>
  <sheetViews>
    <sheetView workbookViewId="0">
      <pane xSplit="2" ySplit="6" topLeftCell="P7" activePane="bottomRight" state="frozen"/>
      <selection activeCell="H50" sqref="H50"/>
      <selection pane="topRight" activeCell="H50" sqref="H50"/>
      <selection pane="bottomLeft" activeCell="H50" sqref="H50"/>
      <selection pane="bottomRight" activeCell="X11" sqref="X11"/>
    </sheetView>
  </sheetViews>
  <sheetFormatPr defaultColWidth="9.140625" defaultRowHeight="12.75" x14ac:dyDescent="0.2"/>
  <cols>
    <col min="1" max="1" width="10.5703125" style="19" bestFit="1" customWidth="1"/>
    <col min="2" max="2" width="74.5703125" style="19" customWidth="1"/>
    <col min="3" max="3" width="19" style="19" customWidth="1"/>
    <col min="4" max="4" width="19.5703125" style="19" customWidth="1"/>
    <col min="5" max="5" width="31.140625" style="19" customWidth="1"/>
    <col min="6" max="6" width="29.140625" style="19" customWidth="1"/>
    <col min="7" max="7" width="28.5703125" style="19" customWidth="1"/>
    <col min="8" max="8" width="26.42578125" style="19" customWidth="1"/>
    <col min="9" max="9" width="23.7109375" style="19" customWidth="1"/>
    <col min="10" max="10" width="21.5703125" style="19" customWidth="1"/>
    <col min="11" max="11" width="15.7109375" style="19" customWidth="1"/>
    <col min="12" max="12" width="13.28515625" style="19" customWidth="1"/>
    <col min="13" max="13" width="20.85546875" style="19" customWidth="1"/>
    <col min="14" max="14" width="19.28515625" style="19" customWidth="1"/>
    <col min="15" max="15" width="18.42578125" style="19" customWidth="1"/>
    <col min="16" max="16" width="19" style="19" customWidth="1"/>
    <col min="17" max="17" width="20.28515625" style="19" customWidth="1"/>
    <col min="18" max="18" width="18" style="19" customWidth="1"/>
    <col min="19" max="19" width="36" style="19" customWidth="1"/>
    <col min="20" max="20" width="19.42578125" style="19" customWidth="1"/>
    <col min="21" max="21" width="19.140625" style="19" customWidth="1"/>
    <col min="22" max="22" width="20" style="19" customWidth="1"/>
    <col min="23" max="16384" width="9.140625" style="163"/>
  </cols>
  <sheetData>
    <row r="1" spans="1:22" x14ac:dyDescent="0.2">
      <c r="A1" s="19" t="s">
        <v>41</v>
      </c>
      <c r="B1" s="19" t="str">
        <f>Info!C2</f>
        <v>სს სილქ ბანკი</v>
      </c>
    </row>
    <row r="2" spans="1:22" x14ac:dyDescent="0.2">
      <c r="A2" s="19" t="s">
        <v>42</v>
      </c>
      <c r="B2" s="23">
        <f>'1. key ratios'!B2</f>
        <v>45107</v>
      </c>
    </row>
    <row r="4" spans="1:22" ht="27.75" thickBot="1" x14ac:dyDescent="0.35">
      <c r="A4" s="19" t="s">
        <v>422</v>
      </c>
      <c r="B4" s="327" t="s">
        <v>423</v>
      </c>
      <c r="V4" s="303" t="s">
        <v>234</v>
      </c>
    </row>
    <row r="5" spans="1:22" x14ac:dyDescent="0.2">
      <c r="A5" s="345"/>
      <c r="B5" s="346"/>
      <c r="C5" s="755" t="s">
        <v>424</v>
      </c>
      <c r="D5" s="756"/>
      <c r="E5" s="756"/>
      <c r="F5" s="756"/>
      <c r="G5" s="756"/>
      <c r="H5" s="756"/>
      <c r="I5" s="756"/>
      <c r="J5" s="756"/>
      <c r="K5" s="756"/>
      <c r="L5" s="757"/>
      <c r="M5" s="755" t="s">
        <v>425</v>
      </c>
      <c r="N5" s="756"/>
      <c r="O5" s="756"/>
      <c r="P5" s="756"/>
      <c r="Q5" s="756"/>
      <c r="R5" s="756"/>
      <c r="S5" s="757"/>
      <c r="T5" s="758" t="s">
        <v>426</v>
      </c>
      <c r="U5" s="758" t="s">
        <v>427</v>
      </c>
      <c r="V5" s="760" t="s">
        <v>428</v>
      </c>
    </row>
    <row r="6" spans="1:22" s="248" customFormat="1" ht="127.5" x14ac:dyDescent="0.25">
      <c r="A6" s="233"/>
      <c r="B6" s="347"/>
      <c r="C6" s="348" t="s">
        <v>429</v>
      </c>
      <c r="D6" s="349" t="s">
        <v>430</v>
      </c>
      <c r="E6" s="350" t="s">
        <v>431</v>
      </c>
      <c r="F6" s="350" t="s">
        <v>432</v>
      </c>
      <c r="G6" s="349" t="s">
        <v>433</v>
      </c>
      <c r="H6" s="349" t="s">
        <v>434</v>
      </c>
      <c r="I6" s="349" t="s">
        <v>435</v>
      </c>
      <c r="J6" s="349" t="s">
        <v>436</v>
      </c>
      <c r="K6" s="349" t="s">
        <v>437</v>
      </c>
      <c r="L6" s="351" t="s">
        <v>438</v>
      </c>
      <c r="M6" s="348" t="s">
        <v>439</v>
      </c>
      <c r="N6" s="349" t="s">
        <v>440</v>
      </c>
      <c r="O6" s="349" t="s">
        <v>441</v>
      </c>
      <c r="P6" s="349" t="s">
        <v>442</v>
      </c>
      <c r="Q6" s="349" t="s">
        <v>443</v>
      </c>
      <c r="R6" s="349" t="s">
        <v>444</v>
      </c>
      <c r="S6" s="351" t="s">
        <v>445</v>
      </c>
      <c r="T6" s="759"/>
      <c r="U6" s="759"/>
      <c r="V6" s="761"/>
    </row>
    <row r="7" spans="1:22" x14ac:dyDescent="0.2">
      <c r="A7" s="352">
        <v>1</v>
      </c>
      <c r="B7" s="353" t="s">
        <v>408</v>
      </c>
      <c r="C7" s="354"/>
      <c r="D7" s="337"/>
      <c r="E7" s="337"/>
      <c r="F7" s="337"/>
      <c r="G7" s="337"/>
      <c r="H7" s="337"/>
      <c r="I7" s="337"/>
      <c r="J7" s="337"/>
      <c r="K7" s="337"/>
      <c r="L7" s="355"/>
      <c r="M7" s="354"/>
      <c r="N7" s="337"/>
      <c r="O7" s="337"/>
      <c r="P7" s="337"/>
      <c r="Q7" s="337"/>
      <c r="R7" s="337"/>
      <c r="S7" s="355"/>
      <c r="T7" s="356"/>
      <c r="U7" s="357"/>
      <c r="V7" s="358">
        <f>SUM(C7:S7)</f>
        <v>0</v>
      </c>
    </row>
    <row r="8" spans="1:22" x14ac:dyDescent="0.2">
      <c r="A8" s="352">
        <v>2</v>
      </c>
      <c r="B8" s="353" t="s">
        <v>409</v>
      </c>
      <c r="C8" s="354"/>
      <c r="D8" s="337"/>
      <c r="E8" s="337"/>
      <c r="F8" s="337"/>
      <c r="G8" s="337"/>
      <c r="H8" s="337"/>
      <c r="I8" s="337"/>
      <c r="J8" s="337"/>
      <c r="K8" s="337"/>
      <c r="L8" s="355"/>
      <c r="M8" s="354"/>
      <c r="N8" s="337"/>
      <c r="O8" s="337"/>
      <c r="P8" s="337"/>
      <c r="Q8" s="337"/>
      <c r="R8" s="337"/>
      <c r="S8" s="355"/>
      <c r="T8" s="357"/>
      <c r="U8" s="357"/>
      <c r="V8" s="358">
        <f t="shared" ref="V8:V20" si="0">SUM(C8:S8)</f>
        <v>0</v>
      </c>
    </row>
    <row r="9" spans="1:22" x14ac:dyDescent="0.2">
      <c r="A9" s="352">
        <v>3</v>
      </c>
      <c r="B9" s="353" t="s">
        <v>410</v>
      </c>
      <c r="C9" s="354"/>
      <c r="D9" s="337"/>
      <c r="E9" s="337"/>
      <c r="F9" s="337"/>
      <c r="G9" s="337"/>
      <c r="H9" s="337"/>
      <c r="I9" s="337"/>
      <c r="J9" s="337"/>
      <c r="K9" s="337"/>
      <c r="L9" s="355"/>
      <c r="M9" s="354"/>
      <c r="N9" s="337"/>
      <c r="O9" s="337"/>
      <c r="P9" s="337"/>
      <c r="Q9" s="337"/>
      <c r="R9" s="337"/>
      <c r="S9" s="355"/>
      <c r="T9" s="357"/>
      <c r="U9" s="357"/>
      <c r="V9" s="358">
        <f>SUM(C9:S9)</f>
        <v>0</v>
      </c>
    </row>
    <row r="10" spans="1:22" x14ac:dyDescent="0.2">
      <c r="A10" s="352">
        <v>4</v>
      </c>
      <c r="B10" s="353" t="s">
        <v>411</v>
      </c>
      <c r="C10" s="354"/>
      <c r="D10" s="337"/>
      <c r="E10" s="337"/>
      <c r="F10" s="337"/>
      <c r="G10" s="337"/>
      <c r="H10" s="337"/>
      <c r="I10" s="337"/>
      <c r="J10" s="337"/>
      <c r="K10" s="337"/>
      <c r="L10" s="355"/>
      <c r="M10" s="354"/>
      <c r="N10" s="337"/>
      <c r="O10" s="337"/>
      <c r="P10" s="337"/>
      <c r="Q10" s="337"/>
      <c r="R10" s="337"/>
      <c r="S10" s="355"/>
      <c r="T10" s="357"/>
      <c r="U10" s="357"/>
      <c r="V10" s="358">
        <f t="shared" si="0"/>
        <v>0</v>
      </c>
    </row>
    <row r="11" spans="1:22" x14ac:dyDescent="0.2">
      <c r="A11" s="352">
        <v>5</v>
      </c>
      <c r="B11" s="353" t="s">
        <v>412</v>
      </c>
      <c r="C11" s="354"/>
      <c r="D11" s="337"/>
      <c r="E11" s="337"/>
      <c r="F11" s="337"/>
      <c r="G11" s="337"/>
      <c r="H11" s="337"/>
      <c r="I11" s="337"/>
      <c r="J11" s="337"/>
      <c r="K11" s="337"/>
      <c r="L11" s="355"/>
      <c r="M11" s="354"/>
      <c r="N11" s="337"/>
      <c r="O11" s="337"/>
      <c r="P11" s="337"/>
      <c r="Q11" s="337"/>
      <c r="R11" s="337"/>
      <c r="S11" s="355"/>
      <c r="T11" s="357"/>
      <c r="U11" s="357"/>
      <c r="V11" s="358">
        <f t="shared" si="0"/>
        <v>0</v>
      </c>
    </row>
    <row r="12" spans="1:22" x14ac:dyDescent="0.2">
      <c r="A12" s="352">
        <v>6</v>
      </c>
      <c r="B12" s="353" t="s">
        <v>413</v>
      </c>
      <c r="C12" s="354"/>
      <c r="D12" s="337"/>
      <c r="E12" s="337"/>
      <c r="F12" s="337"/>
      <c r="G12" s="337"/>
      <c r="H12" s="337"/>
      <c r="I12" s="337"/>
      <c r="J12" s="337"/>
      <c r="K12" s="337"/>
      <c r="L12" s="355"/>
      <c r="M12" s="354"/>
      <c r="N12" s="337"/>
      <c r="O12" s="337"/>
      <c r="P12" s="337"/>
      <c r="Q12" s="337"/>
      <c r="R12" s="337"/>
      <c r="S12" s="355"/>
      <c r="T12" s="357"/>
      <c r="U12" s="357"/>
      <c r="V12" s="358">
        <f t="shared" si="0"/>
        <v>0</v>
      </c>
    </row>
    <row r="13" spans="1:22" x14ac:dyDescent="0.2">
      <c r="A13" s="352">
        <v>7</v>
      </c>
      <c r="B13" s="353" t="s">
        <v>414</v>
      </c>
      <c r="C13" s="354"/>
      <c r="D13" s="337"/>
      <c r="E13" s="337"/>
      <c r="F13" s="337"/>
      <c r="G13" s="337"/>
      <c r="H13" s="337"/>
      <c r="I13" s="337"/>
      <c r="J13" s="337"/>
      <c r="K13" s="337"/>
      <c r="L13" s="355"/>
      <c r="M13" s="354"/>
      <c r="N13" s="337"/>
      <c r="O13" s="337"/>
      <c r="P13" s="337"/>
      <c r="Q13" s="337"/>
      <c r="R13" s="337"/>
      <c r="S13" s="355"/>
      <c r="T13" s="357"/>
      <c r="U13" s="357"/>
      <c r="V13" s="358">
        <f t="shared" si="0"/>
        <v>0</v>
      </c>
    </row>
    <row r="14" spans="1:22" x14ac:dyDescent="0.2">
      <c r="A14" s="352">
        <v>8</v>
      </c>
      <c r="B14" s="353" t="s">
        <v>415</v>
      </c>
      <c r="C14" s="354"/>
      <c r="D14" s="337"/>
      <c r="E14" s="337"/>
      <c r="F14" s="337"/>
      <c r="G14" s="337"/>
      <c r="H14" s="337"/>
      <c r="I14" s="337"/>
      <c r="J14" s="337"/>
      <c r="K14" s="337"/>
      <c r="L14" s="355"/>
      <c r="M14" s="354"/>
      <c r="N14" s="337"/>
      <c r="O14" s="337"/>
      <c r="P14" s="337"/>
      <c r="Q14" s="337"/>
      <c r="R14" s="337"/>
      <c r="S14" s="355"/>
      <c r="T14" s="357"/>
      <c r="U14" s="357"/>
      <c r="V14" s="358">
        <f t="shared" si="0"/>
        <v>0</v>
      </c>
    </row>
    <row r="15" spans="1:22" x14ac:dyDescent="0.2">
      <c r="A15" s="352">
        <v>9</v>
      </c>
      <c r="B15" s="353" t="s">
        <v>416</v>
      </c>
      <c r="C15" s="354"/>
      <c r="D15" s="337"/>
      <c r="E15" s="337"/>
      <c r="F15" s="337"/>
      <c r="G15" s="337"/>
      <c r="H15" s="337"/>
      <c r="I15" s="337"/>
      <c r="J15" s="337"/>
      <c r="K15" s="337"/>
      <c r="L15" s="355"/>
      <c r="M15" s="354"/>
      <c r="N15" s="337"/>
      <c r="O15" s="337"/>
      <c r="P15" s="337"/>
      <c r="Q15" s="337"/>
      <c r="R15" s="337"/>
      <c r="S15" s="355"/>
      <c r="T15" s="357"/>
      <c r="U15" s="357"/>
      <c r="V15" s="358">
        <f t="shared" si="0"/>
        <v>0</v>
      </c>
    </row>
    <row r="16" spans="1:22" x14ac:dyDescent="0.2">
      <c r="A16" s="352">
        <v>10</v>
      </c>
      <c r="B16" s="353" t="s">
        <v>417</v>
      </c>
      <c r="C16" s="354"/>
      <c r="D16" s="337"/>
      <c r="E16" s="337"/>
      <c r="F16" s="337"/>
      <c r="G16" s="337"/>
      <c r="H16" s="337"/>
      <c r="I16" s="337"/>
      <c r="J16" s="337"/>
      <c r="K16" s="337"/>
      <c r="L16" s="355"/>
      <c r="M16" s="354"/>
      <c r="N16" s="337"/>
      <c r="O16" s="337"/>
      <c r="P16" s="337"/>
      <c r="Q16" s="337"/>
      <c r="R16" s="337"/>
      <c r="S16" s="355"/>
      <c r="T16" s="357"/>
      <c r="U16" s="357"/>
      <c r="V16" s="358">
        <f t="shared" si="0"/>
        <v>0</v>
      </c>
    </row>
    <row r="17" spans="1:22" x14ac:dyDescent="0.2">
      <c r="A17" s="352">
        <v>11</v>
      </c>
      <c r="B17" s="353" t="s">
        <v>418</v>
      </c>
      <c r="C17" s="354"/>
      <c r="D17" s="337"/>
      <c r="E17" s="337"/>
      <c r="F17" s="337"/>
      <c r="G17" s="337"/>
      <c r="H17" s="337"/>
      <c r="I17" s="337"/>
      <c r="J17" s="337"/>
      <c r="K17" s="337"/>
      <c r="L17" s="355"/>
      <c r="M17" s="354"/>
      <c r="N17" s="337"/>
      <c r="O17" s="337"/>
      <c r="P17" s="337"/>
      <c r="Q17" s="337"/>
      <c r="R17" s="337"/>
      <c r="S17" s="355"/>
      <c r="T17" s="357"/>
      <c r="U17" s="357"/>
      <c r="V17" s="358">
        <f t="shared" si="0"/>
        <v>0</v>
      </c>
    </row>
    <row r="18" spans="1:22" x14ac:dyDescent="0.2">
      <c r="A18" s="352">
        <v>12</v>
      </c>
      <c r="B18" s="353" t="s">
        <v>419</v>
      </c>
      <c r="C18" s="354"/>
      <c r="D18" s="337"/>
      <c r="E18" s="337"/>
      <c r="F18" s="337"/>
      <c r="G18" s="337"/>
      <c r="H18" s="337"/>
      <c r="I18" s="337"/>
      <c r="J18" s="337"/>
      <c r="K18" s="337"/>
      <c r="L18" s="355"/>
      <c r="M18" s="354"/>
      <c r="N18" s="337"/>
      <c r="O18" s="337"/>
      <c r="P18" s="337"/>
      <c r="Q18" s="337"/>
      <c r="R18" s="337"/>
      <c r="S18" s="355"/>
      <c r="T18" s="357"/>
      <c r="U18" s="357"/>
      <c r="V18" s="358">
        <f t="shared" si="0"/>
        <v>0</v>
      </c>
    </row>
    <row r="19" spans="1:22" x14ac:dyDescent="0.2">
      <c r="A19" s="352">
        <v>13</v>
      </c>
      <c r="B19" s="353" t="s">
        <v>420</v>
      </c>
      <c r="C19" s="354"/>
      <c r="D19" s="337"/>
      <c r="E19" s="337"/>
      <c r="F19" s="337"/>
      <c r="G19" s="337"/>
      <c r="H19" s="337"/>
      <c r="I19" s="337"/>
      <c r="J19" s="337"/>
      <c r="K19" s="337"/>
      <c r="L19" s="355"/>
      <c r="M19" s="354"/>
      <c r="N19" s="337"/>
      <c r="O19" s="337"/>
      <c r="P19" s="337"/>
      <c r="Q19" s="337"/>
      <c r="R19" s="337"/>
      <c r="S19" s="355"/>
      <c r="T19" s="357"/>
      <c r="U19" s="357"/>
      <c r="V19" s="358">
        <f t="shared" si="0"/>
        <v>0</v>
      </c>
    </row>
    <row r="20" spans="1:22" x14ac:dyDescent="0.2">
      <c r="A20" s="352">
        <v>14</v>
      </c>
      <c r="B20" s="353" t="s">
        <v>421</v>
      </c>
      <c r="C20" s="354"/>
      <c r="D20" s="337"/>
      <c r="E20" s="337"/>
      <c r="F20" s="337"/>
      <c r="G20" s="337"/>
      <c r="H20" s="337"/>
      <c r="I20" s="337"/>
      <c r="J20" s="337"/>
      <c r="K20" s="337"/>
      <c r="L20" s="355"/>
      <c r="M20" s="354"/>
      <c r="N20" s="337"/>
      <c r="O20" s="337"/>
      <c r="P20" s="337"/>
      <c r="Q20" s="337"/>
      <c r="R20" s="337"/>
      <c r="S20" s="355"/>
      <c r="T20" s="357"/>
      <c r="U20" s="357"/>
      <c r="V20" s="358">
        <f t="shared" si="0"/>
        <v>0</v>
      </c>
    </row>
    <row r="21" spans="1:22" ht="13.5" thickBot="1" x14ac:dyDescent="0.25">
      <c r="A21" s="341"/>
      <c r="B21" s="359" t="s">
        <v>92</v>
      </c>
      <c r="C21" s="360">
        <f>SUM(C7:C20)</f>
        <v>0</v>
      </c>
      <c r="D21" s="343">
        <f t="shared" ref="D21:V21" si="1">SUM(D7:D20)</f>
        <v>0</v>
      </c>
      <c r="E21" s="343">
        <f t="shared" si="1"/>
        <v>0</v>
      </c>
      <c r="F21" s="343">
        <f t="shared" si="1"/>
        <v>0</v>
      </c>
      <c r="G21" s="343">
        <f t="shared" si="1"/>
        <v>0</v>
      </c>
      <c r="H21" s="343">
        <f t="shared" si="1"/>
        <v>0</v>
      </c>
      <c r="I21" s="343">
        <f t="shared" si="1"/>
        <v>0</v>
      </c>
      <c r="J21" s="343">
        <f t="shared" si="1"/>
        <v>0</v>
      </c>
      <c r="K21" s="343">
        <f t="shared" si="1"/>
        <v>0</v>
      </c>
      <c r="L21" s="361">
        <f t="shared" si="1"/>
        <v>0</v>
      </c>
      <c r="M21" s="360">
        <f t="shared" si="1"/>
        <v>0</v>
      </c>
      <c r="N21" s="343">
        <f t="shared" si="1"/>
        <v>0</v>
      </c>
      <c r="O21" s="343">
        <f t="shared" si="1"/>
        <v>0</v>
      </c>
      <c r="P21" s="343">
        <f t="shared" si="1"/>
        <v>0</v>
      </c>
      <c r="Q21" s="343">
        <f t="shared" si="1"/>
        <v>0</v>
      </c>
      <c r="R21" s="343">
        <f t="shared" si="1"/>
        <v>0</v>
      </c>
      <c r="S21" s="361">
        <f t="shared" si="1"/>
        <v>0</v>
      </c>
      <c r="T21" s="361">
        <f>SUM(T7:T20)</f>
        <v>0</v>
      </c>
      <c r="U21" s="361">
        <f t="shared" si="1"/>
        <v>0</v>
      </c>
      <c r="V21" s="362">
        <f t="shared" si="1"/>
        <v>0</v>
      </c>
    </row>
    <row r="24" spans="1:22" x14ac:dyDescent="0.2">
      <c r="C24" s="363"/>
      <c r="D24" s="363"/>
      <c r="E24" s="363"/>
    </row>
    <row r="25" spans="1:22" x14ac:dyDescent="0.2">
      <c r="A25" s="228"/>
      <c r="B25" s="228"/>
      <c r="D25" s="363"/>
      <c r="E25" s="363"/>
    </row>
    <row r="26" spans="1:22" x14ac:dyDescent="0.2">
      <c r="A26" s="228"/>
      <c r="B26" s="364"/>
      <c r="D26" s="363"/>
      <c r="E26" s="363"/>
    </row>
    <row r="27" spans="1:22" x14ac:dyDescent="0.2">
      <c r="A27" s="228"/>
      <c r="B27" s="228"/>
      <c r="D27" s="363"/>
      <c r="E27" s="363"/>
    </row>
    <row r="28" spans="1:22" x14ac:dyDescent="0.2">
      <c r="A28" s="228"/>
      <c r="B28" s="364"/>
      <c r="D28" s="363"/>
      <c r="E28" s="363"/>
    </row>
  </sheetData>
  <mergeCells count="5">
    <mergeCell ref="C5:L5"/>
    <mergeCell ref="M5:S5"/>
    <mergeCell ref="T5:T6"/>
    <mergeCell ref="U5:U6"/>
    <mergeCell ref="V5:V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BEC5-1708-4542-8904-3C8CAB0DA2FD}">
  <dimension ref="A1:I28"/>
  <sheetViews>
    <sheetView zoomScale="130" zoomScaleNormal="130" workbookViewId="0">
      <pane xSplit="1" ySplit="7" topLeftCell="C8" activePane="bottomRight" state="frozen"/>
      <selection activeCell="H50" sqref="H50"/>
      <selection pane="topRight" activeCell="H50" sqref="H50"/>
      <selection pane="bottomLeft" activeCell="H50" sqref="H50"/>
      <selection pane="bottomRight" activeCell="H22" sqref="H22"/>
    </sheetView>
  </sheetViews>
  <sheetFormatPr defaultColWidth="9.140625" defaultRowHeight="12.75" x14ac:dyDescent="0.2"/>
  <cols>
    <col min="1" max="1" width="10.5703125" style="19" bestFit="1" customWidth="1"/>
    <col min="2" max="2" width="101.85546875" style="19" customWidth="1"/>
    <col min="3" max="3" width="13.7109375" style="19" customWidth="1"/>
    <col min="4" max="4" width="14.85546875" style="19" bestFit="1" customWidth="1"/>
    <col min="5" max="5" width="17.7109375" style="19" customWidth="1"/>
    <col min="6" max="6" width="15.85546875" style="19" customWidth="1"/>
    <col min="7" max="7" width="17.42578125" style="19" customWidth="1"/>
    <col min="8" max="8" width="15.28515625" style="19" customWidth="1"/>
    <col min="9" max="16384" width="9.140625" style="163"/>
  </cols>
  <sheetData>
    <row r="1" spans="1:9" x14ac:dyDescent="0.2">
      <c r="A1" s="19" t="s">
        <v>41</v>
      </c>
      <c r="B1" s="19" t="str">
        <f>Info!C2</f>
        <v>სს სილქ ბანკი</v>
      </c>
    </row>
    <row r="2" spans="1:9" x14ac:dyDescent="0.2">
      <c r="A2" s="19" t="s">
        <v>42</v>
      </c>
      <c r="B2" s="23">
        <f>'1. key ratios'!B2</f>
        <v>45107</v>
      </c>
    </row>
    <row r="4" spans="1:9" ht="13.5" thickBot="1" x14ac:dyDescent="0.25">
      <c r="A4" s="19" t="s">
        <v>446</v>
      </c>
      <c r="B4" s="250" t="s">
        <v>447</v>
      </c>
    </row>
    <row r="5" spans="1:9" x14ac:dyDescent="0.2">
      <c r="A5" s="345"/>
      <c r="B5" s="365"/>
      <c r="C5" s="366" t="s">
        <v>288</v>
      </c>
      <c r="D5" s="366" t="s">
        <v>289</v>
      </c>
      <c r="E5" s="366" t="s">
        <v>290</v>
      </c>
      <c r="F5" s="366" t="s">
        <v>390</v>
      </c>
      <c r="G5" s="367" t="s">
        <v>391</v>
      </c>
      <c r="H5" s="368" t="s">
        <v>392</v>
      </c>
      <c r="I5" s="369"/>
    </row>
    <row r="6" spans="1:9" ht="15" customHeight="1" x14ac:dyDescent="0.2">
      <c r="A6" s="333"/>
      <c r="B6" s="370"/>
      <c r="C6" s="753" t="s">
        <v>448</v>
      </c>
      <c r="D6" s="762" t="s">
        <v>449</v>
      </c>
      <c r="E6" s="763"/>
      <c r="F6" s="753" t="s">
        <v>450</v>
      </c>
      <c r="G6" s="753" t="s">
        <v>451</v>
      </c>
      <c r="H6" s="764" t="s">
        <v>452</v>
      </c>
      <c r="I6" s="369"/>
    </row>
    <row r="7" spans="1:9" ht="63.75" x14ac:dyDescent="0.2">
      <c r="A7" s="333"/>
      <c r="B7" s="370"/>
      <c r="C7" s="754"/>
      <c r="D7" s="218" t="s">
        <v>453</v>
      </c>
      <c r="E7" s="218" t="s">
        <v>454</v>
      </c>
      <c r="F7" s="754"/>
      <c r="G7" s="754"/>
      <c r="H7" s="765"/>
      <c r="I7" s="369"/>
    </row>
    <row r="8" spans="1:9" x14ac:dyDescent="0.2">
      <c r="A8" s="371">
        <v>1</v>
      </c>
      <c r="B8" s="264" t="s">
        <v>408</v>
      </c>
      <c r="C8" s="337">
        <v>31607322.328634005</v>
      </c>
      <c r="D8" s="337"/>
      <c r="E8" s="337"/>
      <c r="F8" s="337">
        <v>1968637.9200000013</v>
      </c>
      <c r="G8" s="338">
        <v>1968637.9200000013</v>
      </c>
      <c r="H8" s="372">
        <f>G8/(C8+E8)</f>
        <v>6.2284235897343138E-2</v>
      </c>
    </row>
    <row r="9" spans="1:9" ht="15" customHeight="1" x14ac:dyDescent="0.2">
      <c r="A9" s="371">
        <v>2</v>
      </c>
      <c r="B9" s="264" t="s">
        <v>409</v>
      </c>
      <c r="C9" s="337">
        <v>0</v>
      </c>
      <c r="D9" s="337"/>
      <c r="E9" s="337"/>
      <c r="F9" s="337">
        <v>0</v>
      </c>
      <c r="G9" s="338">
        <v>0</v>
      </c>
      <c r="H9" s="372" t="e">
        <f t="shared" ref="H9:H21" si="0">G9/(C9+E9)</f>
        <v>#DIV/0!</v>
      </c>
    </row>
    <row r="10" spans="1:9" x14ac:dyDescent="0.2">
      <c r="A10" s="371">
        <v>3</v>
      </c>
      <c r="B10" s="264" t="s">
        <v>410</v>
      </c>
      <c r="C10" s="337">
        <v>0</v>
      </c>
      <c r="D10" s="337"/>
      <c r="E10" s="337"/>
      <c r="F10" s="337">
        <v>0</v>
      </c>
      <c r="G10" s="338">
        <v>0</v>
      </c>
      <c r="H10" s="372" t="e">
        <f t="shared" si="0"/>
        <v>#DIV/0!</v>
      </c>
    </row>
    <row r="11" spans="1:9" x14ac:dyDescent="0.2">
      <c r="A11" s="371">
        <v>4</v>
      </c>
      <c r="B11" s="264" t="s">
        <v>411</v>
      </c>
      <c r="C11" s="337">
        <v>0</v>
      </c>
      <c r="D11" s="337"/>
      <c r="E11" s="337"/>
      <c r="F11" s="337">
        <v>0</v>
      </c>
      <c r="G11" s="338">
        <v>0</v>
      </c>
      <c r="H11" s="372" t="e">
        <f t="shared" si="0"/>
        <v>#DIV/0!</v>
      </c>
    </row>
    <row r="12" spans="1:9" x14ac:dyDescent="0.2">
      <c r="A12" s="371">
        <v>5</v>
      </c>
      <c r="B12" s="264" t="s">
        <v>412</v>
      </c>
      <c r="C12" s="337">
        <v>0</v>
      </c>
      <c r="D12" s="337"/>
      <c r="E12" s="337"/>
      <c r="F12" s="337">
        <v>0</v>
      </c>
      <c r="G12" s="338">
        <v>0</v>
      </c>
      <c r="H12" s="372" t="e">
        <f t="shared" si="0"/>
        <v>#DIV/0!</v>
      </c>
    </row>
    <row r="13" spans="1:9" x14ac:dyDescent="0.2">
      <c r="A13" s="371">
        <v>6</v>
      </c>
      <c r="B13" s="264" t="s">
        <v>413</v>
      </c>
      <c r="C13" s="337">
        <v>61009260.159999996</v>
      </c>
      <c r="D13" s="337"/>
      <c r="E13" s="337"/>
      <c r="F13" s="337">
        <v>13524768.231999993</v>
      </c>
      <c r="G13" s="338">
        <v>13524768.231999993</v>
      </c>
      <c r="H13" s="372">
        <f t="shared" si="0"/>
        <v>0.22168385908189309</v>
      </c>
    </row>
    <row r="14" spans="1:9" x14ac:dyDescent="0.2">
      <c r="A14" s="371">
        <v>7</v>
      </c>
      <c r="B14" s="264" t="s">
        <v>414</v>
      </c>
      <c r="C14" s="337">
        <v>12950468.73</v>
      </c>
      <c r="D14" s="337">
        <v>2990649.418394377</v>
      </c>
      <c r="E14" s="337">
        <v>759877</v>
      </c>
      <c r="F14" s="337">
        <v>12950468.73</v>
      </c>
      <c r="G14" s="338">
        <v>12950468.73</v>
      </c>
      <c r="H14" s="372">
        <f>G14/(C14+E14)</f>
        <v>0.94457637940250538</v>
      </c>
    </row>
    <row r="15" spans="1:9" x14ac:dyDescent="0.2">
      <c r="A15" s="371">
        <v>8</v>
      </c>
      <c r="B15" s="264" t="s">
        <v>415</v>
      </c>
      <c r="C15" s="337">
        <v>7506709.3799999999</v>
      </c>
      <c r="D15" s="337"/>
      <c r="E15" s="337"/>
      <c r="F15" s="337">
        <v>7506709.3799999999</v>
      </c>
      <c r="G15" s="338">
        <v>7506709.3799999999</v>
      </c>
      <c r="H15" s="372">
        <f t="shared" si="0"/>
        <v>1</v>
      </c>
    </row>
    <row r="16" spans="1:9" x14ac:dyDescent="0.2">
      <c r="A16" s="371">
        <v>9</v>
      </c>
      <c r="B16" s="264" t="s">
        <v>416</v>
      </c>
      <c r="C16" s="337">
        <v>0</v>
      </c>
      <c r="D16" s="337"/>
      <c r="E16" s="337"/>
      <c r="F16" s="337">
        <v>0</v>
      </c>
      <c r="G16" s="338">
        <v>0</v>
      </c>
      <c r="H16" s="372" t="e">
        <f t="shared" si="0"/>
        <v>#DIV/0!</v>
      </c>
    </row>
    <row r="17" spans="1:8" x14ac:dyDescent="0.2">
      <c r="A17" s="371">
        <v>10</v>
      </c>
      <c r="B17" s="264" t="s">
        <v>417</v>
      </c>
      <c r="C17" s="337">
        <v>706120.32</v>
      </c>
      <c r="D17" s="337"/>
      <c r="E17" s="337"/>
      <c r="F17" s="337">
        <v>706120.32</v>
      </c>
      <c r="G17" s="338">
        <v>706120.32</v>
      </c>
      <c r="H17" s="372">
        <f t="shared" si="0"/>
        <v>1</v>
      </c>
    </row>
    <row r="18" spans="1:8" x14ac:dyDescent="0.2">
      <c r="A18" s="371">
        <v>11</v>
      </c>
      <c r="B18" s="264" t="s">
        <v>418</v>
      </c>
      <c r="C18" s="337">
        <v>0</v>
      </c>
      <c r="D18" s="337"/>
      <c r="E18" s="337"/>
      <c r="F18" s="337">
        <v>0</v>
      </c>
      <c r="G18" s="338">
        <v>0</v>
      </c>
      <c r="H18" s="372" t="e">
        <f t="shared" si="0"/>
        <v>#DIV/0!</v>
      </c>
    </row>
    <row r="19" spans="1:8" x14ac:dyDescent="0.2">
      <c r="A19" s="371">
        <v>12</v>
      </c>
      <c r="B19" s="264" t="s">
        <v>419</v>
      </c>
      <c r="C19" s="337">
        <v>0</v>
      </c>
      <c r="D19" s="337"/>
      <c r="E19" s="337"/>
      <c r="F19" s="337">
        <v>0</v>
      </c>
      <c r="G19" s="338">
        <v>0</v>
      </c>
      <c r="H19" s="372" t="e">
        <f t="shared" si="0"/>
        <v>#DIV/0!</v>
      </c>
    </row>
    <row r="20" spans="1:8" x14ac:dyDescent="0.2">
      <c r="A20" s="371">
        <v>13</v>
      </c>
      <c r="B20" s="264" t="s">
        <v>420</v>
      </c>
      <c r="C20" s="337">
        <v>0</v>
      </c>
      <c r="D20" s="337"/>
      <c r="E20" s="337"/>
      <c r="F20" s="337">
        <v>0</v>
      </c>
      <c r="G20" s="338">
        <v>0</v>
      </c>
      <c r="H20" s="372" t="e">
        <f t="shared" si="0"/>
        <v>#DIV/0!</v>
      </c>
    </row>
    <row r="21" spans="1:8" x14ac:dyDescent="0.2">
      <c r="A21" s="371">
        <v>14</v>
      </c>
      <c r="B21" s="264" t="s">
        <v>421</v>
      </c>
      <c r="C21" s="337">
        <v>26493945.901507363</v>
      </c>
      <c r="D21" s="337"/>
      <c r="E21" s="337"/>
      <c r="F21" s="337">
        <v>24307634.711507358</v>
      </c>
      <c r="G21" s="338">
        <v>24307634.711507358</v>
      </c>
      <c r="H21" s="372">
        <f t="shared" si="0"/>
        <v>0.91747883844378142</v>
      </c>
    </row>
    <row r="22" spans="1:8" ht="13.5" thickBot="1" x14ac:dyDescent="0.25">
      <c r="A22" s="373"/>
      <c r="B22" s="374" t="s">
        <v>92</v>
      </c>
      <c r="C22" s="343">
        <f>SUM(C8:C21)</f>
        <v>140273826.82014138</v>
      </c>
      <c r="D22" s="343">
        <f>SUM(D8:D21)</f>
        <v>2990649.418394377</v>
      </c>
      <c r="E22" s="343">
        <f>SUM(E8:E21)</f>
        <v>759877</v>
      </c>
      <c r="F22" s="343">
        <f>SUM(F8:F21)</f>
        <v>60964339.293507352</v>
      </c>
      <c r="G22" s="343">
        <f>SUM(G8:G21)</f>
        <v>60964339.293507352</v>
      </c>
      <c r="H22" s="375">
        <f>G22/(C22+E22)</f>
        <v>0.43226787386406912</v>
      </c>
    </row>
    <row r="24" spans="1:8" x14ac:dyDescent="0.2">
      <c r="C24" s="649"/>
      <c r="D24" s="649"/>
      <c r="E24" s="649"/>
      <c r="F24" s="649"/>
      <c r="G24" s="649"/>
    </row>
    <row r="28" spans="1:8" ht="10.5" customHeight="1" x14ac:dyDescent="0.2"/>
  </sheetData>
  <mergeCells count="5">
    <mergeCell ref="C6:C7"/>
    <mergeCell ref="D6:E6"/>
    <mergeCell ref="F6:F7"/>
    <mergeCell ref="G6:G7"/>
    <mergeCell ref="H6:H7"/>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B7B25-EE6A-4C88-823D-B1AB339FA5BB}">
  <dimension ref="A1:K29"/>
  <sheetViews>
    <sheetView zoomScale="115" zoomScaleNormal="115" workbookViewId="0">
      <pane xSplit="2" ySplit="6" topLeftCell="E7" activePane="bottomRight" state="frozen"/>
      <selection activeCell="H50" sqref="H50"/>
      <selection pane="topRight" activeCell="H50" sqref="H50"/>
      <selection pane="bottomLeft" activeCell="H50" sqref="H50"/>
      <selection pane="bottomRight" activeCell="H25" sqref="H25"/>
    </sheetView>
  </sheetViews>
  <sheetFormatPr defaultColWidth="9.140625" defaultRowHeight="12.75" x14ac:dyDescent="0.2"/>
  <cols>
    <col min="1" max="1" width="10.5703125" style="19" bestFit="1" customWidth="1"/>
    <col min="2" max="2" width="104.140625" style="19" customWidth="1"/>
    <col min="3" max="7" width="12.7109375" style="19" customWidth="1"/>
    <col min="8" max="8" width="14.7109375" style="19" customWidth="1"/>
    <col min="9" max="9" width="15" style="19" customWidth="1"/>
    <col min="10" max="10" width="12.7109375" style="19" customWidth="1"/>
    <col min="11" max="11" width="15" style="19" customWidth="1"/>
    <col min="12" max="16384" width="9.140625" style="19"/>
  </cols>
  <sheetData>
    <row r="1" spans="1:11" x14ac:dyDescent="0.2">
      <c r="A1" s="19" t="s">
        <v>41</v>
      </c>
      <c r="B1" s="19" t="str">
        <f>Info!C2</f>
        <v>სს სილქ ბანკი</v>
      </c>
    </row>
    <row r="2" spans="1:11" x14ac:dyDescent="0.2">
      <c r="A2" s="19" t="s">
        <v>42</v>
      </c>
      <c r="B2" s="23">
        <f>'1. key ratios'!B2</f>
        <v>45107</v>
      </c>
    </row>
    <row r="3" spans="1:11" x14ac:dyDescent="0.2">
      <c r="B3" s="376"/>
    </row>
    <row r="4" spans="1:11" ht="13.5" thickBot="1" x14ac:dyDescent="0.25">
      <c r="A4" s="19" t="s">
        <v>455</v>
      </c>
      <c r="B4" s="250" t="s">
        <v>27</v>
      </c>
    </row>
    <row r="5" spans="1:11" ht="30" customHeight="1" x14ac:dyDescent="0.2">
      <c r="A5" s="766"/>
      <c r="B5" s="767"/>
      <c r="C5" s="768" t="s">
        <v>456</v>
      </c>
      <c r="D5" s="768"/>
      <c r="E5" s="768"/>
      <c r="F5" s="768" t="s">
        <v>457</v>
      </c>
      <c r="G5" s="768"/>
      <c r="H5" s="768"/>
      <c r="I5" s="768" t="s">
        <v>458</v>
      </c>
      <c r="J5" s="768"/>
      <c r="K5" s="769"/>
    </row>
    <row r="6" spans="1:11" x14ac:dyDescent="0.2">
      <c r="A6" s="377"/>
      <c r="B6" s="378"/>
      <c r="C6" s="218" t="s">
        <v>90</v>
      </c>
      <c r="D6" s="218" t="s">
        <v>459</v>
      </c>
      <c r="E6" s="218" t="s">
        <v>92</v>
      </c>
      <c r="F6" s="218" t="s">
        <v>90</v>
      </c>
      <c r="G6" s="218" t="s">
        <v>459</v>
      </c>
      <c r="H6" s="218" t="s">
        <v>92</v>
      </c>
      <c r="I6" s="218" t="s">
        <v>90</v>
      </c>
      <c r="J6" s="218" t="s">
        <v>459</v>
      </c>
      <c r="K6" s="379" t="s">
        <v>92</v>
      </c>
    </row>
    <row r="7" spans="1:11" x14ac:dyDescent="0.2">
      <c r="A7" s="380" t="s">
        <v>460</v>
      </c>
      <c r="B7" s="381"/>
      <c r="C7" s="381"/>
      <c r="D7" s="381"/>
      <c r="E7" s="381"/>
      <c r="F7" s="381"/>
      <c r="G7" s="381"/>
      <c r="H7" s="381"/>
      <c r="I7" s="381"/>
      <c r="J7" s="381"/>
      <c r="K7" s="382"/>
    </row>
    <row r="8" spans="1:11" x14ac:dyDescent="0.2">
      <c r="A8" s="383">
        <v>1</v>
      </c>
      <c r="B8" s="384" t="s">
        <v>460</v>
      </c>
      <c r="C8" s="385"/>
      <c r="D8" s="385"/>
      <c r="E8" s="385"/>
      <c r="F8" s="386">
        <v>36222032.809999995</v>
      </c>
      <c r="G8" s="386">
        <v>8237482.0600000005</v>
      </c>
      <c r="H8" s="386">
        <f>F8+G8</f>
        <v>44459514.869999997</v>
      </c>
      <c r="I8" s="386">
        <v>24904521.559999999</v>
      </c>
      <c r="J8" s="386">
        <v>3508401.11</v>
      </c>
      <c r="K8" s="387">
        <f>I8+J8</f>
        <v>28412922.669999998</v>
      </c>
    </row>
    <row r="9" spans="1:11" x14ac:dyDescent="0.2">
      <c r="A9" s="380" t="s">
        <v>461</v>
      </c>
      <c r="B9" s="381"/>
      <c r="C9" s="381"/>
      <c r="D9" s="381"/>
      <c r="E9" s="381"/>
      <c r="F9" s="388"/>
      <c r="G9" s="388"/>
      <c r="H9" s="388"/>
      <c r="I9" s="388"/>
      <c r="J9" s="388"/>
      <c r="K9" s="389"/>
    </row>
    <row r="10" spans="1:11" x14ac:dyDescent="0.2">
      <c r="A10" s="233">
        <v>2</v>
      </c>
      <c r="B10" s="390" t="s">
        <v>462</v>
      </c>
      <c r="C10" s="110">
        <v>2272857.33</v>
      </c>
      <c r="D10" s="391">
        <v>4988631.2799999993</v>
      </c>
      <c r="E10" s="391">
        <f>C10+D10</f>
        <v>7261488.6099999994</v>
      </c>
      <c r="F10" s="391">
        <v>320236.26045</v>
      </c>
      <c r="G10" s="391">
        <v>1484658.0626499997</v>
      </c>
      <c r="H10" s="391">
        <f>F10+G10</f>
        <v>1804894.3230999997</v>
      </c>
      <c r="I10" s="391">
        <v>55328.339500000009</v>
      </c>
      <c r="J10" s="391">
        <v>178887.41750000001</v>
      </c>
      <c r="K10" s="392">
        <f>I10+J10</f>
        <v>234215.75700000001</v>
      </c>
    </row>
    <row r="11" spans="1:11" x14ac:dyDescent="0.2">
      <c r="A11" s="233">
        <v>3</v>
      </c>
      <c r="B11" s="390" t="s">
        <v>463</v>
      </c>
      <c r="C11" s="110">
        <v>11643080.550000001</v>
      </c>
      <c r="D11" s="391">
        <v>6709749.660000002</v>
      </c>
      <c r="E11" s="391">
        <f t="shared" ref="E11:E16" si="0">C11+D11</f>
        <v>18352830.210000001</v>
      </c>
      <c r="F11" s="391">
        <f>7086200.4392-F10</f>
        <v>6765964.17875</v>
      </c>
      <c r="G11" s="391">
        <f>5616020.90915-G10</f>
        <v>4131362.8465</v>
      </c>
      <c r="H11" s="391">
        <f t="shared" ref="H11:H16" si="1">F11+G11</f>
        <v>10897327.025249999</v>
      </c>
      <c r="I11" s="391">
        <v>4239265.7829999998</v>
      </c>
      <c r="J11" s="391">
        <v>4115706.7049999996</v>
      </c>
      <c r="K11" s="392">
        <f t="shared" ref="K11:K15" si="2">I11+J11</f>
        <v>8354972.4879999999</v>
      </c>
    </row>
    <row r="12" spans="1:11" x14ac:dyDescent="0.2">
      <c r="A12" s="233">
        <v>4</v>
      </c>
      <c r="B12" s="390" t="s">
        <v>464</v>
      </c>
      <c r="C12" s="110">
        <v>263736.26</v>
      </c>
      <c r="D12" s="391">
        <v>0</v>
      </c>
      <c r="E12" s="391">
        <f t="shared" si="0"/>
        <v>263736.26</v>
      </c>
      <c r="F12" s="391">
        <v>0</v>
      </c>
      <c r="G12" s="391">
        <v>0</v>
      </c>
      <c r="H12" s="391">
        <f t="shared" si="1"/>
        <v>0</v>
      </c>
      <c r="I12" s="391">
        <v>0</v>
      </c>
      <c r="J12" s="391">
        <v>0</v>
      </c>
      <c r="K12" s="392">
        <f t="shared" si="2"/>
        <v>0</v>
      </c>
    </row>
    <row r="13" spans="1:11" x14ac:dyDescent="0.2">
      <c r="A13" s="233">
        <v>5</v>
      </c>
      <c r="B13" s="390" t="s">
        <v>465</v>
      </c>
      <c r="C13" s="110">
        <v>943133.07</v>
      </c>
      <c r="D13" s="391">
        <v>2046087.55</v>
      </c>
      <c r="E13" s="391">
        <f t="shared" si="0"/>
        <v>2989220.62</v>
      </c>
      <c r="F13" s="391">
        <v>223689.06954999999</v>
      </c>
      <c r="G13" s="391">
        <v>919497.76649999979</v>
      </c>
      <c r="H13" s="391">
        <f t="shared" si="1"/>
        <v>1143186.8360499998</v>
      </c>
      <c r="I13" s="391">
        <v>67479.509000000005</v>
      </c>
      <c r="J13" s="391">
        <v>203367.12400000001</v>
      </c>
      <c r="K13" s="392">
        <f t="shared" si="2"/>
        <v>270846.63300000003</v>
      </c>
    </row>
    <row r="14" spans="1:11" x14ac:dyDescent="0.2">
      <c r="A14" s="233">
        <v>6</v>
      </c>
      <c r="B14" s="390" t="s">
        <v>466</v>
      </c>
      <c r="C14" s="110">
        <v>0</v>
      </c>
      <c r="D14" s="391">
        <v>0</v>
      </c>
      <c r="E14" s="391">
        <f t="shared" si="0"/>
        <v>0</v>
      </c>
      <c r="F14" s="391"/>
      <c r="G14" s="391"/>
      <c r="H14" s="391">
        <f t="shared" si="1"/>
        <v>0</v>
      </c>
      <c r="I14" s="391">
        <v>0</v>
      </c>
      <c r="J14" s="391">
        <v>0</v>
      </c>
      <c r="K14" s="392">
        <f t="shared" si="2"/>
        <v>0</v>
      </c>
    </row>
    <row r="15" spans="1:11" x14ac:dyDescent="0.2">
      <c r="A15" s="233">
        <v>7</v>
      </c>
      <c r="B15" s="390" t="s">
        <v>467</v>
      </c>
      <c r="C15" s="110">
        <v>4847953.1399999997</v>
      </c>
      <c r="D15" s="391">
        <v>7689832.5</v>
      </c>
      <c r="E15" s="391">
        <f t="shared" si="0"/>
        <v>12537785.640000001</v>
      </c>
      <c r="F15" s="391">
        <v>4339428.0500000007</v>
      </c>
      <c r="G15" s="391">
        <v>1137467.29</v>
      </c>
      <c r="H15" s="391">
        <f t="shared" si="1"/>
        <v>5476895.3400000008</v>
      </c>
      <c r="I15" s="391">
        <v>4339428.0500000007</v>
      </c>
      <c r="J15" s="391">
        <v>1137467.29</v>
      </c>
      <c r="K15" s="392">
        <f t="shared" si="2"/>
        <v>5476895.3400000008</v>
      </c>
    </row>
    <row r="16" spans="1:11" x14ac:dyDescent="0.2">
      <c r="A16" s="233">
        <v>8</v>
      </c>
      <c r="B16" s="393" t="s">
        <v>468</v>
      </c>
      <c r="C16" s="110">
        <f>SUM(C10:C15)</f>
        <v>19970760.350000001</v>
      </c>
      <c r="D16" s="110">
        <f>SUM(D10:D15)</f>
        <v>21434300.990000002</v>
      </c>
      <c r="E16" s="391">
        <f t="shared" si="0"/>
        <v>41405061.340000004</v>
      </c>
      <c r="F16" s="391">
        <f>SUM(F10:F15)</f>
        <v>11649317.55875</v>
      </c>
      <c r="G16" s="391">
        <f>SUM(G10:G15)</f>
        <v>7672985.9656499997</v>
      </c>
      <c r="H16" s="391">
        <f t="shared" si="1"/>
        <v>19322303.5244</v>
      </c>
      <c r="I16" s="391">
        <f>SUM(I10:I15)</f>
        <v>8701501.681499999</v>
      </c>
      <c r="J16" s="391">
        <f t="shared" ref="J16:K16" si="3">SUM(J10:J15)</f>
        <v>5635428.5364999995</v>
      </c>
      <c r="K16" s="392">
        <f t="shared" si="3"/>
        <v>14336930.217999998</v>
      </c>
    </row>
    <row r="17" spans="1:11" x14ac:dyDescent="0.2">
      <c r="A17" s="380" t="s">
        <v>469</v>
      </c>
      <c r="B17" s="381"/>
      <c r="C17" s="394"/>
      <c r="D17" s="394"/>
      <c r="E17" s="394"/>
      <c r="F17" s="388"/>
      <c r="G17" s="388"/>
      <c r="H17" s="388"/>
      <c r="I17" s="388"/>
      <c r="J17" s="388"/>
      <c r="K17" s="389"/>
    </row>
    <row r="18" spans="1:11" x14ac:dyDescent="0.2">
      <c r="A18" s="233">
        <v>9</v>
      </c>
      <c r="B18" s="390" t="s">
        <v>470</v>
      </c>
      <c r="C18" s="395">
        <v>0</v>
      </c>
      <c r="D18" s="396">
        <v>0</v>
      </c>
      <c r="E18" s="396">
        <f>C18+D18</f>
        <v>0</v>
      </c>
      <c r="F18" s="391">
        <v>0</v>
      </c>
      <c r="G18" s="391">
        <v>0</v>
      </c>
      <c r="H18" s="391">
        <f>F18+G18</f>
        <v>0</v>
      </c>
      <c r="I18" s="391">
        <v>0</v>
      </c>
      <c r="J18" s="391">
        <v>0</v>
      </c>
      <c r="K18" s="392">
        <f>I18+J18</f>
        <v>0</v>
      </c>
    </row>
    <row r="19" spans="1:11" x14ac:dyDescent="0.2">
      <c r="A19" s="233">
        <v>10</v>
      </c>
      <c r="B19" s="390" t="s">
        <v>471</v>
      </c>
      <c r="C19" s="110">
        <v>16499485.25</v>
      </c>
      <c r="D19" s="391">
        <v>10477077.18</v>
      </c>
      <c r="E19" s="391">
        <f t="shared" ref="E19:E20" si="4">C19+D19</f>
        <v>26976562.43</v>
      </c>
      <c r="F19" s="391">
        <v>119503.58499999999</v>
      </c>
      <c r="G19" s="391">
        <v>39353.83</v>
      </c>
      <c r="H19" s="391">
        <f t="shared" ref="H19:H21" si="5">F19+G19</f>
        <v>158857.41499999998</v>
      </c>
      <c r="I19" s="391">
        <v>11437014.834999999</v>
      </c>
      <c r="J19" s="391">
        <v>5026762.29</v>
      </c>
      <c r="K19" s="392">
        <f t="shared" ref="K19:K20" si="6">I19+J19</f>
        <v>16463777.125</v>
      </c>
    </row>
    <row r="20" spans="1:11" x14ac:dyDescent="0.2">
      <c r="A20" s="233">
        <v>11</v>
      </c>
      <c r="B20" s="390" t="s">
        <v>472</v>
      </c>
      <c r="C20" s="110">
        <v>8185520.4699999988</v>
      </c>
      <c r="D20" s="391">
        <v>3767834.7600000002</v>
      </c>
      <c r="E20" s="391">
        <f t="shared" si="4"/>
        <v>11953355.229999999</v>
      </c>
      <c r="F20" s="391">
        <v>669994.41</v>
      </c>
      <c r="G20" s="391">
        <v>3767834.7600000002</v>
      </c>
      <c r="H20" s="391">
        <f t="shared" si="5"/>
        <v>4437829.17</v>
      </c>
      <c r="I20" s="391">
        <v>669994.41</v>
      </c>
      <c r="J20" s="391">
        <v>3767834.7600000002</v>
      </c>
      <c r="K20" s="392">
        <f t="shared" si="6"/>
        <v>4437829.17</v>
      </c>
    </row>
    <row r="21" spans="1:11" ht="13.5" thickBot="1" x14ac:dyDescent="0.25">
      <c r="A21" s="397">
        <v>12</v>
      </c>
      <c r="B21" s="398" t="s">
        <v>473</v>
      </c>
      <c r="C21" s="399">
        <f>SUM(C18:C20)</f>
        <v>24685005.719999999</v>
      </c>
      <c r="D21" s="399">
        <f>SUM(D18:D20)</f>
        <v>14244911.939999999</v>
      </c>
      <c r="E21" s="399">
        <f>SUM(E18:E20)</f>
        <v>38929917.659999996</v>
      </c>
      <c r="F21" s="400">
        <f>SUM(F18:F20)</f>
        <v>789497.995</v>
      </c>
      <c r="G21" s="400">
        <f>SUM(G18:G20)</f>
        <v>3807188.5900000003</v>
      </c>
      <c r="H21" s="391">
        <f t="shared" si="5"/>
        <v>4596686.585</v>
      </c>
      <c r="I21" s="400">
        <f>SUM(I18:I20)</f>
        <v>12107009.244999999</v>
      </c>
      <c r="J21" s="400">
        <f t="shared" ref="J21:K21" si="7">SUM(J18:J20)</f>
        <v>8794597.0500000007</v>
      </c>
      <c r="K21" s="401">
        <f t="shared" si="7"/>
        <v>20901606.295000002</v>
      </c>
    </row>
    <row r="22" spans="1:11" ht="38.25" customHeight="1" thickBot="1" x14ac:dyDescent="0.25">
      <c r="A22" s="402"/>
      <c r="B22" s="403"/>
      <c r="C22" s="403"/>
      <c r="D22" s="403"/>
      <c r="E22" s="403"/>
      <c r="F22" s="770" t="s">
        <v>474</v>
      </c>
      <c r="G22" s="768"/>
      <c r="H22" s="768"/>
      <c r="I22" s="770" t="s">
        <v>475</v>
      </c>
      <c r="J22" s="768"/>
      <c r="K22" s="769"/>
    </row>
    <row r="23" spans="1:11" x14ac:dyDescent="0.2">
      <c r="A23" s="404">
        <v>13</v>
      </c>
      <c r="B23" s="405" t="s">
        <v>460</v>
      </c>
      <c r="C23" s="406"/>
      <c r="D23" s="407"/>
      <c r="E23" s="407"/>
      <c r="F23" s="408">
        <f>F8</f>
        <v>36222032.809999995</v>
      </c>
      <c r="G23" s="408">
        <f t="shared" ref="G23:K23" si="8">G8</f>
        <v>8237482.0600000005</v>
      </c>
      <c r="H23" s="408">
        <f t="shared" si="8"/>
        <v>44459514.869999997</v>
      </c>
      <c r="I23" s="409">
        <f t="shared" si="8"/>
        <v>24904521.559999999</v>
      </c>
      <c r="J23" s="409">
        <f t="shared" si="8"/>
        <v>3508401.11</v>
      </c>
      <c r="K23" s="410">
        <f t="shared" si="8"/>
        <v>28412922.669999998</v>
      </c>
    </row>
    <row r="24" spans="1:11" ht="13.5" thickBot="1" x14ac:dyDescent="0.25">
      <c r="A24" s="411">
        <v>14</v>
      </c>
      <c r="B24" s="412" t="s">
        <v>476</v>
      </c>
      <c r="C24" s="413"/>
      <c r="D24" s="414"/>
      <c r="E24" s="415"/>
      <c r="F24" s="416">
        <v>10859819.563749999</v>
      </c>
      <c r="G24" s="416">
        <v>3865797.3756499975</v>
      </c>
      <c r="H24" s="416">
        <f t="shared" ref="H24" si="9">MAX(H16-H21,H16*0.25)</f>
        <v>14725616.939399999</v>
      </c>
      <c r="I24" s="417">
        <f>MAX(I16-I21,I16*0.25)</f>
        <v>2175375.4203749998</v>
      </c>
      <c r="J24" s="417">
        <f t="shared" ref="J24:K24" si="10">MAX(J16-J21,J16*0.25)</f>
        <v>1408857.1341249999</v>
      </c>
      <c r="K24" s="418">
        <f t="shared" si="10"/>
        <v>3584232.5544999996</v>
      </c>
    </row>
    <row r="25" spans="1:11" ht="13.5" thickBot="1" x14ac:dyDescent="0.25">
      <c r="A25" s="419">
        <v>15</v>
      </c>
      <c r="B25" s="420" t="s">
        <v>81</v>
      </c>
      <c r="C25" s="421"/>
      <c r="D25" s="422"/>
      <c r="E25" s="422"/>
      <c r="F25" s="423">
        <f t="shared" ref="F25:K25" si="11">IFERROR(F23/F24,0)</f>
        <v>3.3354175543495113</v>
      </c>
      <c r="G25" s="423">
        <f t="shared" si="11"/>
        <v>2.130862344696725</v>
      </c>
      <c r="H25" s="423">
        <f t="shared" si="11"/>
        <v>3.0191953962243647</v>
      </c>
      <c r="I25" s="423">
        <f t="shared" si="11"/>
        <v>11.448378669143398</v>
      </c>
      <c r="J25" s="423">
        <f t="shared" si="11"/>
        <v>2.4902461896386434</v>
      </c>
      <c r="K25" s="424">
        <f t="shared" si="11"/>
        <v>7.9271984275483485</v>
      </c>
    </row>
    <row r="28" spans="1:11" ht="38.25" x14ac:dyDescent="0.2">
      <c r="B28" s="93" t="s">
        <v>477</v>
      </c>
    </row>
    <row r="29" spans="1:11" x14ac:dyDescent="0.2">
      <c r="F29" s="425"/>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3C208-A03C-4596-A8A9-31DC8E91205E}">
  <dimension ref="A1:AA23"/>
  <sheetViews>
    <sheetView workbookViewId="0">
      <pane xSplit="1" ySplit="5" topLeftCell="B6" activePane="bottomRight" state="frozen"/>
      <selection activeCell="H50" sqref="H50"/>
      <selection pane="topRight" activeCell="H50" sqref="H50"/>
      <selection pane="bottomLeft" activeCell="H50" sqref="H50"/>
      <selection pane="bottomRight" activeCell="C28" sqref="C28"/>
    </sheetView>
  </sheetViews>
  <sheetFormatPr defaultColWidth="9.140625" defaultRowHeight="15" x14ac:dyDescent="0.3"/>
  <cols>
    <col min="1" max="1" width="10.5703125" style="300" bestFit="1" customWidth="1"/>
    <col min="2" max="2" width="95" style="300" customWidth="1"/>
    <col min="3" max="3" width="15.85546875" style="300" customWidth="1"/>
    <col min="4" max="4" width="10" style="300" bestFit="1" customWidth="1"/>
    <col min="5" max="5" width="18.28515625" style="300" bestFit="1" customWidth="1"/>
    <col min="6" max="13" width="10.7109375" style="300" customWidth="1"/>
    <col min="14" max="14" width="26" style="300" customWidth="1"/>
    <col min="15" max="16384" width="9.140625" style="163"/>
  </cols>
  <sheetData>
    <row r="1" spans="1:27" x14ac:dyDescent="0.3">
      <c r="A1" s="19" t="s">
        <v>41</v>
      </c>
      <c r="B1" s="300" t="str">
        <f>Info!C2</f>
        <v>სს სილქ ბანკი</v>
      </c>
    </row>
    <row r="2" spans="1:27" ht="14.25" customHeight="1" x14ac:dyDescent="0.3">
      <c r="A2" s="300" t="s">
        <v>42</v>
      </c>
      <c r="B2" s="23">
        <f>'1. key ratios'!B2</f>
        <v>45107</v>
      </c>
    </row>
    <row r="3" spans="1:27" ht="14.25" customHeight="1" x14ac:dyDescent="0.3"/>
    <row r="4" spans="1:27" ht="15.75" thickBot="1" x14ac:dyDescent="0.35">
      <c r="A4" s="19" t="s">
        <v>478</v>
      </c>
      <c r="B4" s="426" t="s">
        <v>28</v>
      </c>
    </row>
    <row r="5" spans="1:27" s="431" customFormat="1" ht="12.75" x14ac:dyDescent="0.2">
      <c r="A5" s="427"/>
      <c r="B5" s="428"/>
      <c r="C5" s="429" t="s">
        <v>288</v>
      </c>
      <c r="D5" s="429" t="s">
        <v>289</v>
      </c>
      <c r="E5" s="429" t="s">
        <v>290</v>
      </c>
      <c r="F5" s="429" t="s">
        <v>390</v>
      </c>
      <c r="G5" s="429" t="s">
        <v>391</v>
      </c>
      <c r="H5" s="429" t="s">
        <v>392</v>
      </c>
      <c r="I5" s="429" t="s">
        <v>393</v>
      </c>
      <c r="J5" s="429" t="s">
        <v>394</v>
      </c>
      <c r="K5" s="429" t="s">
        <v>395</v>
      </c>
      <c r="L5" s="429" t="s">
        <v>396</v>
      </c>
      <c r="M5" s="429" t="s">
        <v>397</v>
      </c>
      <c r="N5" s="430" t="s">
        <v>398</v>
      </c>
    </row>
    <row r="6" spans="1:27" ht="64.5" customHeight="1" x14ac:dyDescent="0.3">
      <c r="A6" s="432"/>
      <c r="B6" s="433"/>
      <c r="C6" s="434" t="s">
        <v>479</v>
      </c>
      <c r="D6" s="435" t="s">
        <v>480</v>
      </c>
      <c r="E6" s="436" t="s">
        <v>481</v>
      </c>
      <c r="F6" s="437">
        <v>0</v>
      </c>
      <c r="G6" s="437">
        <v>0.2</v>
      </c>
      <c r="H6" s="437">
        <v>0.35</v>
      </c>
      <c r="I6" s="437">
        <v>0.5</v>
      </c>
      <c r="J6" s="437">
        <v>0.75</v>
      </c>
      <c r="K6" s="437">
        <v>1</v>
      </c>
      <c r="L6" s="437">
        <v>1.5</v>
      </c>
      <c r="M6" s="437">
        <v>2.5</v>
      </c>
      <c r="N6" s="438" t="s">
        <v>28</v>
      </c>
    </row>
    <row r="7" spans="1:27" x14ac:dyDescent="0.3">
      <c r="A7" s="439">
        <v>1</v>
      </c>
      <c r="B7" s="440" t="s">
        <v>482</v>
      </c>
      <c r="C7" s="441">
        <f>SUM(C8:C13)</f>
        <v>10731750</v>
      </c>
      <c r="D7" s="433"/>
      <c r="E7" s="442">
        <f t="shared" ref="E7:M7" si="0">SUM(E8:E13)</f>
        <v>214635</v>
      </c>
      <c r="F7" s="441">
        <f>SUM(F8:F13)</f>
        <v>0</v>
      </c>
      <c r="G7" s="441">
        <f t="shared" si="0"/>
        <v>0</v>
      </c>
      <c r="H7" s="441">
        <f t="shared" si="0"/>
        <v>0</v>
      </c>
      <c r="I7" s="441">
        <f t="shared" si="0"/>
        <v>0</v>
      </c>
      <c r="J7" s="441">
        <f t="shared" si="0"/>
        <v>0</v>
      </c>
      <c r="K7" s="441">
        <f t="shared" si="0"/>
        <v>214635</v>
      </c>
      <c r="L7" s="441">
        <f t="shared" si="0"/>
        <v>0</v>
      </c>
      <c r="M7" s="441">
        <f t="shared" si="0"/>
        <v>0</v>
      </c>
      <c r="N7" s="443">
        <f>SUM(N8:N13)</f>
        <v>214635</v>
      </c>
      <c r="P7" s="650"/>
      <c r="Q7" s="650"/>
      <c r="R7" s="650"/>
      <c r="S7" s="650"/>
      <c r="T7" s="650"/>
      <c r="U7" s="650"/>
      <c r="V7" s="650"/>
      <c r="W7" s="650"/>
      <c r="X7" s="650"/>
      <c r="Y7" s="650"/>
      <c r="Z7" s="650"/>
      <c r="AA7" s="650"/>
    </row>
    <row r="8" spans="1:27" x14ac:dyDescent="0.3">
      <c r="A8" s="439">
        <v>1.1000000000000001</v>
      </c>
      <c r="B8" s="444" t="s">
        <v>483</v>
      </c>
      <c r="C8" s="445">
        <f>'4. Off-balance'!E32</f>
        <v>10731750</v>
      </c>
      <c r="D8" s="446">
        <v>0.02</v>
      </c>
      <c r="E8" s="442">
        <f>C8*D8</f>
        <v>214635</v>
      </c>
      <c r="F8" s="445"/>
      <c r="G8" s="445"/>
      <c r="H8" s="445"/>
      <c r="I8" s="445"/>
      <c r="J8" s="445"/>
      <c r="K8" s="445">
        <f>E8</f>
        <v>214635</v>
      </c>
      <c r="L8" s="445"/>
      <c r="M8" s="445"/>
      <c r="N8" s="443">
        <f>SUMPRODUCT($F$6:$M$6,F8:M8)</f>
        <v>214635</v>
      </c>
      <c r="P8" s="650"/>
      <c r="Q8" s="650"/>
      <c r="R8" s="650"/>
      <c r="S8" s="650"/>
      <c r="T8" s="650"/>
      <c r="U8" s="650"/>
      <c r="V8" s="650"/>
      <c r="W8" s="650"/>
      <c r="X8" s="650"/>
      <c r="Y8" s="650"/>
      <c r="Z8" s="650"/>
      <c r="AA8" s="650"/>
    </row>
    <row r="9" spans="1:27" x14ac:dyDescent="0.3">
      <c r="A9" s="439">
        <v>1.2</v>
      </c>
      <c r="B9" s="444" t="s">
        <v>484</v>
      </c>
      <c r="C9" s="445">
        <v>0</v>
      </c>
      <c r="D9" s="446">
        <v>0.05</v>
      </c>
      <c r="E9" s="442">
        <f>C9*D9</f>
        <v>0</v>
      </c>
      <c r="F9" s="445"/>
      <c r="G9" s="445"/>
      <c r="H9" s="445"/>
      <c r="I9" s="445"/>
      <c r="J9" s="445"/>
      <c r="K9" s="445"/>
      <c r="L9" s="445"/>
      <c r="M9" s="445"/>
      <c r="N9" s="443">
        <f t="shared" ref="N9:N12" si="1">SUMPRODUCT($F$6:$M$6,F9:M9)</f>
        <v>0</v>
      </c>
      <c r="P9" s="650"/>
      <c r="Q9" s="650"/>
      <c r="R9" s="650"/>
      <c r="S9" s="650"/>
      <c r="T9" s="650"/>
      <c r="U9" s="650"/>
      <c r="V9" s="650"/>
      <c r="W9" s="650"/>
      <c r="X9" s="650"/>
      <c r="Y9" s="650"/>
      <c r="Z9" s="650"/>
      <c r="AA9" s="650"/>
    </row>
    <row r="10" spans="1:27" x14ac:dyDescent="0.3">
      <c r="A10" s="439">
        <v>1.3</v>
      </c>
      <c r="B10" s="444" t="s">
        <v>485</v>
      </c>
      <c r="C10" s="445">
        <v>0</v>
      </c>
      <c r="D10" s="446">
        <v>0.08</v>
      </c>
      <c r="E10" s="442">
        <f>C10*D10</f>
        <v>0</v>
      </c>
      <c r="F10" s="445"/>
      <c r="G10" s="445"/>
      <c r="H10" s="445"/>
      <c r="I10" s="445"/>
      <c r="J10" s="445"/>
      <c r="K10" s="445"/>
      <c r="L10" s="445"/>
      <c r="M10" s="445"/>
      <c r="N10" s="443">
        <f>SUMPRODUCT($F$6:$M$6,F10:M10)</f>
        <v>0</v>
      </c>
      <c r="P10" s="650"/>
      <c r="Q10" s="650"/>
      <c r="R10" s="650"/>
      <c r="S10" s="650"/>
      <c r="T10" s="650"/>
      <c r="U10" s="650"/>
      <c r="V10" s="650"/>
      <c r="W10" s="650"/>
      <c r="X10" s="650"/>
      <c r="Y10" s="650"/>
      <c r="Z10" s="650"/>
      <c r="AA10" s="650"/>
    </row>
    <row r="11" spans="1:27" x14ac:dyDescent="0.3">
      <c r="A11" s="439">
        <v>1.4</v>
      </c>
      <c r="B11" s="444" t="s">
        <v>486</v>
      </c>
      <c r="C11" s="445">
        <v>0</v>
      </c>
      <c r="D11" s="446">
        <v>0.11</v>
      </c>
      <c r="E11" s="442">
        <f>C11*D11</f>
        <v>0</v>
      </c>
      <c r="F11" s="445"/>
      <c r="G11" s="445"/>
      <c r="H11" s="445"/>
      <c r="I11" s="445"/>
      <c r="J11" s="445"/>
      <c r="K11" s="445"/>
      <c r="L11" s="445"/>
      <c r="M11" s="445"/>
      <c r="N11" s="443">
        <f t="shared" si="1"/>
        <v>0</v>
      </c>
      <c r="P11" s="650"/>
      <c r="Q11" s="650"/>
      <c r="R11" s="650"/>
      <c r="S11" s="650"/>
      <c r="T11" s="650"/>
      <c r="U11" s="650"/>
      <c r="V11" s="650"/>
      <c r="W11" s="650"/>
      <c r="X11" s="650"/>
      <c r="Y11" s="650"/>
      <c r="Z11" s="650"/>
      <c r="AA11" s="650"/>
    </row>
    <row r="12" spans="1:27" x14ac:dyDescent="0.3">
      <c r="A12" s="439">
        <v>1.5</v>
      </c>
      <c r="B12" s="444" t="s">
        <v>487</v>
      </c>
      <c r="C12" s="445">
        <v>0</v>
      </c>
      <c r="D12" s="446">
        <v>0.14000000000000001</v>
      </c>
      <c r="E12" s="442">
        <f>C12*D12</f>
        <v>0</v>
      </c>
      <c r="F12" s="445"/>
      <c r="G12" s="445"/>
      <c r="H12" s="445"/>
      <c r="I12" s="445"/>
      <c r="J12" s="445"/>
      <c r="K12" s="445"/>
      <c r="L12" s="445"/>
      <c r="M12" s="445"/>
      <c r="N12" s="443">
        <f t="shared" si="1"/>
        <v>0</v>
      </c>
      <c r="P12" s="650"/>
      <c r="Q12" s="650"/>
      <c r="R12" s="650"/>
      <c r="S12" s="650"/>
      <c r="T12" s="650"/>
      <c r="U12" s="650"/>
      <c r="V12" s="650"/>
      <c r="W12" s="650"/>
      <c r="X12" s="650"/>
      <c r="Y12" s="650"/>
      <c r="Z12" s="650"/>
      <c r="AA12" s="650"/>
    </row>
    <row r="13" spans="1:27" x14ac:dyDescent="0.3">
      <c r="A13" s="439">
        <v>1.6</v>
      </c>
      <c r="B13" s="447" t="s">
        <v>488</v>
      </c>
      <c r="C13" s="445">
        <v>0</v>
      </c>
      <c r="D13" s="448"/>
      <c r="E13" s="445"/>
      <c r="F13" s="445"/>
      <c r="G13" s="445"/>
      <c r="H13" s="445"/>
      <c r="I13" s="445"/>
      <c r="J13" s="445"/>
      <c r="K13" s="445"/>
      <c r="L13" s="445"/>
      <c r="M13" s="445"/>
      <c r="N13" s="443">
        <f>SUMPRODUCT($F$6:$M$6,F13:M13)</f>
        <v>0</v>
      </c>
      <c r="P13" s="650"/>
      <c r="Q13" s="650"/>
      <c r="R13" s="650"/>
      <c r="S13" s="650"/>
      <c r="T13" s="650"/>
      <c r="U13" s="650"/>
      <c r="V13" s="650"/>
      <c r="W13" s="650"/>
      <c r="X13" s="650"/>
      <c r="Y13" s="650"/>
      <c r="Z13" s="650"/>
      <c r="AA13" s="650"/>
    </row>
    <row r="14" spans="1:27" x14ac:dyDescent="0.3">
      <c r="A14" s="439">
        <v>2</v>
      </c>
      <c r="B14" s="449" t="s">
        <v>489</v>
      </c>
      <c r="C14" s="441">
        <f>SUM(C15:C20)</f>
        <v>0</v>
      </c>
      <c r="D14" s="433"/>
      <c r="E14" s="442">
        <f t="shared" ref="E14:M14" si="2">SUM(E15:E20)</f>
        <v>0</v>
      </c>
      <c r="F14" s="445">
        <f t="shared" si="2"/>
        <v>0</v>
      </c>
      <c r="G14" s="445">
        <f t="shared" si="2"/>
        <v>0</v>
      </c>
      <c r="H14" s="445">
        <f t="shared" si="2"/>
        <v>0</v>
      </c>
      <c r="I14" s="445">
        <f t="shared" si="2"/>
        <v>0</v>
      </c>
      <c r="J14" s="445">
        <f t="shared" si="2"/>
        <v>0</v>
      </c>
      <c r="K14" s="445">
        <f t="shared" si="2"/>
        <v>0</v>
      </c>
      <c r="L14" s="445">
        <f t="shared" si="2"/>
        <v>0</v>
      </c>
      <c r="M14" s="445">
        <f t="shared" si="2"/>
        <v>0</v>
      </c>
      <c r="N14" s="443">
        <f>SUM(N15:N20)</f>
        <v>0</v>
      </c>
      <c r="P14" s="650"/>
      <c r="Q14" s="650"/>
      <c r="R14" s="650"/>
      <c r="S14" s="650"/>
      <c r="T14" s="650"/>
      <c r="U14" s="650"/>
      <c r="V14" s="650"/>
      <c r="W14" s="650"/>
      <c r="X14" s="650"/>
      <c r="Y14" s="650"/>
      <c r="Z14" s="650"/>
      <c r="AA14" s="650"/>
    </row>
    <row r="15" spans="1:27" x14ac:dyDescent="0.3">
      <c r="A15" s="439">
        <v>2.1</v>
      </c>
      <c r="B15" s="447" t="s">
        <v>483</v>
      </c>
      <c r="C15" s="445"/>
      <c r="D15" s="446">
        <v>5.0000000000000001E-3</v>
      </c>
      <c r="E15" s="442">
        <f>C15*D15</f>
        <v>0</v>
      </c>
      <c r="F15" s="445"/>
      <c r="G15" s="445"/>
      <c r="H15" s="445"/>
      <c r="I15" s="445"/>
      <c r="J15" s="445"/>
      <c r="K15" s="445"/>
      <c r="L15" s="445"/>
      <c r="M15" s="445"/>
      <c r="N15" s="443">
        <f>SUMPRODUCT($F$6:$M$6,F15:M15)</f>
        <v>0</v>
      </c>
      <c r="P15" s="650"/>
      <c r="Q15" s="650"/>
      <c r="R15" s="650"/>
      <c r="S15" s="650"/>
      <c r="T15" s="650"/>
      <c r="U15" s="650"/>
      <c r="V15" s="650"/>
      <c r="W15" s="650"/>
      <c r="X15" s="650"/>
      <c r="Y15" s="650"/>
      <c r="Z15" s="650"/>
      <c r="AA15" s="650"/>
    </row>
    <row r="16" spans="1:27" x14ac:dyDescent="0.3">
      <c r="A16" s="439">
        <v>2.2000000000000002</v>
      </c>
      <c r="B16" s="447" t="s">
        <v>484</v>
      </c>
      <c r="C16" s="445"/>
      <c r="D16" s="446">
        <v>0.01</v>
      </c>
      <c r="E16" s="442">
        <f>C16*D16</f>
        <v>0</v>
      </c>
      <c r="F16" s="445"/>
      <c r="G16" s="445"/>
      <c r="H16" s="445"/>
      <c r="I16" s="445"/>
      <c r="J16" s="445"/>
      <c r="K16" s="445"/>
      <c r="L16" s="445"/>
      <c r="M16" s="445"/>
      <c r="N16" s="443">
        <f t="shared" ref="N16:N20" si="3">SUMPRODUCT($F$6:$M$6,F16:M16)</f>
        <v>0</v>
      </c>
      <c r="P16" s="650"/>
      <c r="Q16" s="650"/>
      <c r="R16" s="650"/>
      <c r="S16" s="650"/>
      <c r="T16" s="650"/>
      <c r="U16" s="650"/>
      <c r="V16" s="650"/>
      <c r="W16" s="650"/>
      <c r="X16" s="650"/>
      <c r="Y16" s="650"/>
      <c r="Z16" s="650"/>
      <c r="AA16" s="650"/>
    </row>
    <row r="17" spans="1:27" x14ac:dyDescent="0.3">
      <c r="A17" s="439">
        <v>2.2999999999999998</v>
      </c>
      <c r="B17" s="447" t="s">
        <v>485</v>
      </c>
      <c r="C17" s="445"/>
      <c r="D17" s="446">
        <v>0.02</v>
      </c>
      <c r="E17" s="442">
        <f>C17*D17</f>
        <v>0</v>
      </c>
      <c r="F17" s="445"/>
      <c r="G17" s="445"/>
      <c r="H17" s="445"/>
      <c r="I17" s="445"/>
      <c r="J17" s="445"/>
      <c r="K17" s="445"/>
      <c r="L17" s="445"/>
      <c r="M17" s="445"/>
      <c r="N17" s="443">
        <f t="shared" si="3"/>
        <v>0</v>
      </c>
      <c r="P17" s="650"/>
      <c r="Q17" s="650"/>
      <c r="R17" s="650"/>
      <c r="S17" s="650"/>
      <c r="T17" s="650"/>
      <c r="U17" s="650"/>
      <c r="V17" s="650"/>
      <c r="W17" s="650"/>
      <c r="X17" s="650"/>
      <c r="Y17" s="650"/>
      <c r="Z17" s="650"/>
      <c r="AA17" s="650"/>
    </row>
    <row r="18" spans="1:27" x14ac:dyDescent="0.3">
      <c r="A18" s="439">
        <v>2.4</v>
      </c>
      <c r="B18" s="447" t="s">
        <v>486</v>
      </c>
      <c r="C18" s="445"/>
      <c r="D18" s="446">
        <v>0.03</v>
      </c>
      <c r="E18" s="442">
        <f>C18*D18</f>
        <v>0</v>
      </c>
      <c r="F18" s="445"/>
      <c r="G18" s="445"/>
      <c r="H18" s="445"/>
      <c r="I18" s="445"/>
      <c r="J18" s="445"/>
      <c r="K18" s="445"/>
      <c r="L18" s="445"/>
      <c r="M18" s="445"/>
      <c r="N18" s="443">
        <f t="shared" si="3"/>
        <v>0</v>
      </c>
      <c r="P18" s="650"/>
      <c r="Q18" s="650"/>
      <c r="R18" s="650"/>
      <c r="S18" s="650"/>
      <c r="T18" s="650"/>
      <c r="U18" s="650"/>
      <c r="V18" s="650"/>
      <c r="W18" s="650"/>
      <c r="X18" s="650"/>
      <c r="Y18" s="650"/>
      <c r="Z18" s="650"/>
      <c r="AA18" s="650"/>
    </row>
    <row r="19" spans="1:27" x14ac:dyDescent="0.3">
      <c r="A19" s="439">
        <v>2.5</v>
      </c>
      <c r="B19" s="447" t="s">
        <v>487</v>
      </c>
      <c r="C19" s="445"/>
      <c r="D19" s="446">
        <v>0.04</v>
      </c>
      <c r="E19" s="442">
        <f>C19*D19</f>
        <v>0</v>
      </c>
      <c r="F19" s="445"/>
      <c r="G19" s="445"/>
      <c r="H19" s="445"/>
      <c r="I19" s="445"/>
      <c r="J19" s="445"/>
      <c r="K19" s="445"/>
      <c r="L19" s="445"/>
      <c r="M19" s="445"/>
      <c r="N19" s="443">
        <f t="shared" si="3"/>
        <v>0</v>
      </c>
      <c r="P19" s="650"/>
      <c r="Q19" s="650"/>
      <c r="R19" s="650"/>
      <c r="S19" s="650"/>
      <c r="T19" s="650"/>
      <c r="U19" s="650"/>
      <c r="V19" s="650"/>
      <c r="W19" s="650"/>
      <c r="X19" s="650"/>
      <c r="Y19" s="650"/>
      <c r="Z19" s="650"/>
      <c r="AA19" s="650"/>
    </row>
    <row r="20" spans="1:27" x14ac:dyDescent="0.3">
      <c r="A20" s="439">
        <v>2.6</v>
      </c>
      <c r="B20" s="447" t="s">
        <v>488</v>
      </c>
      <c r="C20" s="445"/>
      <c r="D20" s="448"/>
      <c r="E20" s="450"/>
      <c r="F20" s="445"/>
      <c r="G20" s="445"/>
      <c r="H20" s="445"/>
      <c r="I20" s="445"/>
      <c r="J20" s="445"/>
      <c r="K20" s="445"/>
      <c r="L20" s="445"/>
      <c r="M20" s="445"/>
      <c r="N20" s="443">
        <f t="shared" si="3"/>
        <v>0</v>
      </c>
      <c r="P20" s="650"/>
      <c r="Q20" s="650"/>
      <c r="R20" s="650"/>
      <c r="S20" s="650"/>
      <c r="T20" s="650"/>
      <c r="U20" s="650"/>
      <c r="V20" s="650"/>
      <c r="W20" s="650"/>
      <c r="X20" s="650"/>
      <c r="Y20" s="650"/>
      <c r="Z20" s="650"/>
      <c r="AA20" s="650"/>
    </row>
    <row r="21" spans="1:27" ht="15.75" thickBot="1" x14ac:dyDescent="0.35">
      <c r="A21" s="451">
        <v>3</v>
      </c>
      <c r="B21" s="452" t="s">
        <v>92</v>
      </c>
      <c r="C21" s="453">
        <f>C14+C7</f>
        <v>10731750</v>
      </c>
      <c r="D21" s="454"/>
      <c r="E21" s="455">
        <f>E14+E7</f>
        <v>214635</v>
      </c>
      <c r="F21" s="456">
        <f>F7+F14</f>
        <v>0</v>
      </c>
      <c r="G21" s="456">
        <f t="shared" ref="G21:L21" si="4">G7+G14</f>
        <v>0</v>
      </c>
      <c r="H21" s="456">
        <f t="shared" si="4"/>
        <v>0</v>
      </c>
      <c r="I21" s="456">
        <f t="shared" si="4"/>
        <v>0</v>
      </c>
      <c r="J21" s="456">
        <f t="shared" si="4"/>
        <v>0</v>
      </c>
      <c r="K21" s="456">
        <f t="shared" si="4"/>
        <v>214635</v>
      </c>
      <c r="L21" s="456">
        <f t="shared" si="4"/>
        <v>0</v>
      </c>
      <c r="M21" s="456">
        <f>M7+M14</f>
        <v>0</v>
      </c>
      <c r="N21" s="457">
        <f>N14+N7</f>
        <v>214635</v>
      </c>
      <c r="P21" s="650"/>
      <c r="Q21" s="650"/>
      <c r="R21" s="650"/>
      <c r="S21" s="650"/>
      <c r="T21" s="650"/>
      <c r="U21" s="650"/>
      <c r="V21" s="650"/>
      <c r="W21" s="650"/>
      <c r="X21" s="650"/>
      <c r="Y21" s="650"/>
      <c r="Z21" s="650"/>
      <c r="AA21" s="650"/>
    </row>
    <row r="22" spans="1:27" x14ac:dyDescent="0.3">
      <c r="E22" s="458"/>
      <c r="F22" s="458"/>
      <c r="G22" s="458"/>
      <c r="H22" s="458"/>
      <c r="I22" s="458"/>
      <c r="J22" s="458"/>
      <c r="K22" s="458"/>
      <c r="L22" s="458"/>
      <c r="M22" s="458"/>
    </row>
    <row r="23" spans="1:27" x14ac:dyDescent="0.3">
      <c r="E23" s="841"/>
    </row>
  </sheetData>
  <conditionalFormatting sqref="E8:E12">
    <cfRule type="expression" dxfId="21" priority="2">
      <formula>(C8*D8)&lt;&gt;SUM(#REF!)</formula>
    </cfRule>
  </conditionalFormatting>
  <conditionalFormatting sqref="E15:E19">
    <cfRule type="expression" dxfId="20" priority="1">
      <formula>(C15*D15)&lt;&gt;SUM(#REF!)</formula>
    </cfRule>
  </conditionalFormatting>
  <conditionalFormatting sqref="E20">
    <cfRule type="expression" dxfId="19" priority="3">
      <formula>$E$88&lt;&gt;SUM(#REF!)</formula>
    </cfRule>
  </conditionalFormatting>
  <pageMargins left="0.7" right="0.7" top="0.75" bottom="0.75" header="0.3" footer="0.3"/>
  <pageSetup paperSize="0" orientation="portrait" horizontalDpi="0" verticalDpi="0" copies="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ED636-A435-4C5C-A555-AE0E2D569DC8}">
  <dimension ref="A1:C43"/>
  <sheetViews>
    <sheetView workbookViewId="0">
      <selection activeCell="F20" sqref="F20"/>
    </sheetView>
  </sheetViews>
  <sheetFormatPr defaultRowHeight="15" x14ac:dyDescent="0.25"/>
  <cols>
    <col min="1" max="1" width="11.42578125" customWidth="1"/>
    <col min="2" max="2" width="76.85546875" style="239" customWidth="1"/>
    <col min="3" max="3" width="22.85546875" customWidth="1"/>
  </cols>
  <sheetData>
    <row r="1" spans="1:3" x14ac:dyDescent="0.25">
      <c r="A1" s="19" t="s">
        <v>41</v>
      </c>
      <c r="B1" t="str">
        <f>Info!C2</f>
        <v>სს სილქ ბანკი</v>
      </c>
    </row>
    <row r="2" spans="1:3" x14ac:dyDescent="0.25">
      <c r="A2" s="19" t="s">
        <v>42</v>
      </c>
      <c r="B2" s="23">
        <f>'1. key ratios'!B2</f>
        <v>45107</v>
      </c>
    </row>
    <row r="3" spans="1:3" x14ac:dyDescent="0.25">
      <c r="A3" s="19"/>
      <c r="B3"/>
    </row>
    <row r="4" spans="1:3" x14ac:dyDescent="0.25">
      <c r="A4" s="19" t="s">
        <v>490</v>
      </c>
      <c r="B4" t="s">
        <v>29</v>
      </c>
    </row>
    <row r="5" spans="1:3" x14ac:dyDescent="0.25">
      <c r="A5" s="459"/>
      <c r="B5" s="459" t="s">
        <v>491</v>
      </c>
      <c r="C5" s="460"/>
    </row>
    <row r="6" spans="1:3" x14ac:dyDescent="0.25">
      <c r="A6" s="461">
        <v>1</v>
      </c>
      <c r="B6" s="462" t="s">
        <v>492</v>
      </c>
      <c r="C6" s="651">
        <v>140273826.82014138</v>
      </c>
    </row>
    <row r="7" spans="1:3" x14ac:dyDescent="0.25">
      <c r="A7" s="461">
        <v>2</v>
      </c>
      <c r="B7" s="462" t="s">
        <v>493</v>
      </c>
      <c r="C7" s="470">
        <v>-5148339.8189957589</v>
      </c>
    </row>
    <row r="8" spans="1:3" x14ac:dyDescent="0.25">
      <c r="A8" s="463">
        <v>3</v>
      </c>
      <c r="B8" s="464" t="s">
        <v>494</v>
      </c>
      <c r="C8" s="465">
        <f>C6+C7</f>
        <v>135125487.0011456</v>
      </c>
    </row>
    <row r="9" spans="1:3" x14ac:dyDescent="0.25">
      <c r="A9" s="466"/>
      <c r="B9" s="466" t="s">
        <v>495</v>
      </c>
      <c r="C9" s="467"/>
    </row>
    <row r="10" spans="1:3" x14ac:dyDescent="0.25">
      <c r="A10" s="468">
        <v>4</v>
      </c>
      <c r="B10" s="469" t="s">
        <v>496</v>
      </c>
      <c r="C10" s="470"/>
    </row>
    <row r="11" spans="1:3" x14ac:dyDescent="0.25">
      <c r="A11" s="468">
        <v>5</v>
      </c>
      <c r="B11" s="471" t="s">
        <v>497</v>
      </c>
      <c r="C11" s="470"/>
    </row>
    <row r="12" spans="1:3" x14ac:dyDescent="0.25">
      <c r="A12" s="468" t="s">
        <v>498</v>
      </c>
      <c r="B12" s="462" t="s">
        <v>499</v>
      </c>
      <c r="C12" s="465">
        <f>'15. CCR'!E21</f>
        <v>214635</v>
      </c>
    </row>
    <row r="13" spans="1:3" x14ac:dyDescent="0.25">
      <c r="A13" s="472">
        <v>6</v>
      </c>
      <c r="B13" s="473" t="s">
        <v>500</v>
      </c>
      <c r="C13" s="470"/>
    </row>
    <row r="14" spans="1:3" x14ac:dyDescent="0.25">
      <c r="A14" s="472">
        <v>7</v>
      </c>
      <c r="B14" s="474" t="s">
        <v>501</v>
      </c>
      <c r="C14" s="470"/>
    </row>
    <row r="15" spans="1:3" x14ac:dyDescent="0.25">
      <c r="A15" s="475">
        <v>8</v>
      </c>
      <c r="B15" s="462" t="s">
        <v>502</v>
      </c>
      <c r="C15" s="470"/>
    </row>
    <row r="16" spans="1:3" ht="24" x14ac:dyDescent="0.25">
      <c r="A16" s="472">
        <v>9</v>
      </c>
      <c r="B16" s="474" t="s">
        <v>503</v>
      </c>
      <c r="C16" s="470"/>
    </row>
    <row r="17" spans="1:3" x14ac:dyDescent="0.25">
      <c r="A17" s="472">
        <v>10</v>
      </c>
      <c r="B17" s="474" t="s">
        <v>504</v>
      </c>
      <c r="C17" s="470"/>
    </row>
    <row r="18" spans="1:3" x14ac:dyDescent="0.25">
      <c r="A18" s="476">
        <v>11</v>
      </c>
      <c r="B18" s="477" t="s">
        <v>505</v>
      </c>
      <c r="C18" s="465">
        <f>SUM(C10:C17)</f>
        <v>214635</v>
      </c>
    </row>
    <row r="19" spans="1:3" x14ac:dyDescent="0.25">
      <c r="A19" s="466"/>
      <c r="B19" s="466" t="s">
        <v>506</v>
      </c>
      <c r="C19" s="478"/>
    </row>
    <row r="20" spans="1:3" x14ac:dyDescent="0.25">
      <c r="A20" s="472">
        <v>12</v>
      </c>
      <c r="B20" s="469" t="s">
        <v>507</v>
      </c>
      <c r="C20" s="470"/>
    </row>
    <row r="21" spans="1:3" x14ac:dyDescent="0.25">
      <c r="A21" s="472">
        <v>13</v>
      </c>
      <c r="B21" s="469" t="s">
        <v>508</v>
      </c>
      <c r="C21" s="470"/>
    </row>
    <row r="22" spans="1:3" x14ac:dyDescent="0.25">
      <c r="A22" s="472">
        <v>14</v>
      </c>
      <c r="B22" s="469" t="s">
        <v>509</v>
      </c>
      <c r="C22" s="470"/>
    </row>
    <row r="23" spans="1:3" ht="24" x14ac:dyDescent="0.25">
      <c r="A23" s="472" t="s">
        <v>510</v>
      </c>
      <c r="B23" s="469" t="s">
        <v>511</v>
      </c>
      <c r="C23" s="470"/>
    </row>
    <row r="24" spans="1:3" x14ac:dyDescent="0.25">
      <c r="A24" s="472">
        <v>15</v>
      </c>
      <c r="B24" s="469" t="s">
        <v>512</v>
      </c>
      <c r="C24" s="470"/>
    </row>
    <row r="25" spans="1:3" x14ac:dyDescent="0.25">
      <c r="A25" s="472" t="s">
        <v>513</v>
      </c>
      <c r="B25" s="462" t="s">
        <v>514</v>
      </c>
      <c r="C25" s="470"/>
    </row>
    <row r="26" spans="1:3" x14ac:dyDescent="0.25">
      <c r="A26" s="476">
        <v>16</v>
      </c>
      <c r="B26" s="477" t="s">
        <v>515</v>
      </c>
      <c r="C26" s="465">
        <f>SUM(C20:C25)</f>
        <v>0</v>
      </c>
    </row>
    <row r="27" spans="1:3" x14ac:dyDescent="0.25">
      <c r="A27" s="466"/>
      <c r="B27" s="466" t="s">
        <v>516</v>
      </c>
      <c r="C27" s="467"/>
    </row>
    <row r="28" spans="1:3" x14ac:dyDescent="0.25">
      <c r="A28" s="468">
        <v>17</v>
      </c>
      <c r="B28" s="462" t="s">
        <v>517</v>
      </c>
      <c r="C28" s="470">
        <v>2990649.418394377</v>
      </c>
    </row>
    <row r="29" spans="1:3" x14ac:dyDescent="0.25">
      <c r="A29" s="468">
        <v>18</v>
      </c>
      <c r="B29" s="462" t="s">
        <v>518</v>
      </c>
      <c r="C29" s="470">
        <v>-2007695.1765549392</v>
      </c>
    </row>
    <row r="30" spans="1:3" x14ac:dyDescent="0.25">
      <c r="A30" s="476">
        <v>19</v>
      </c>
      <c r="B30" s="477" t="s">
        <v>519</v>
      </c>
      <c r="C30" s="465">
        <f>C28+C29</f>
        <v>982954.24183943775</v>
      </c>
    </row>
    <row r="31" spans="1:3" x14ac:dyDescent="0.25">
      <c r="A31" s="479"/>
      <c r="B31" s="466" t="s">
        <v>520</v>
      </c>
      <c r="C31" s="467"/>
    </row>
    <row r="32" spans="1:3" x14ac:dyDescent="0.25">
      <c r="A32" s="468" t="s">
        <v>521</v>
      </c>
      <c r="B32" s="469" t="s">
        <v>522</v>
      </c>
      <c r="C32" s="480"/>
    </row>
    <row r="33" spans="1:3" x14ac:dyDescent="0.25">
      <c r="A33" s="468" t="s">
        <v>523</v>
      </c>
      <c r="B33" s="471" t="s">
        <v>524</v>
      </c>
      <c r="C33" s="480"/>
    </row>
    <row r="34" spans="1:3" x14ac:dyDescent="0.25">
      <c r="A34" s="466"/>
      <c r="B34" s="466" t="s">
        <v>525</v>
      </c>
      <c r="C34" s="467"/>
    </row>
    <row r="35" spans="1:3" x14ac:dyDescent="0.25">
      <c r="A35" s="476">
        <v>20</v>
      </c>
      <c r="B35" s="477" t="s">
        <v>50</v>
      </c>
      <c r="C35" s="465">
        <f>'1. key ratios'!C9</f>
        <v>49454613.058878683</v>
      </c>
    </row>
    <row r="36" spans="1:3" x14ac:dyDescent="0.25">
      <c r="A36" s="476">
        <v>21</v>
      </c>
      <c r="B36" s="477" t="s">
        <v>526</v>
      </c>
      <c r="C36" s="465">
        <f>C8+C18+C26+C30</f>
        <v>136323076.24298504</v>
      </c>
    </row>
    <row r="37" spans="1:3" x14ac:dyDescent="0.25">
      <c r="A37" s="481"/>
      <c r="B37" s="481" t="s">
        <v>29</v>
      </c>
      <c r="C37" s="467"/>
    </row>
    <row r="38" spans="1:3" x14ac:dyDescent="0.25">
      <c r="A38" s="476">
        <v>22</v>
      </c>
      <c r="B38" s="477" t="s">
        <v>29</v>
      </c>
      <c r="C38" s="697">
        <f>IFERROR(C35/C36,0)</f>
        <v>0.36277506656855196</v>
      </c>
    </row>
    <row r="39" spans="1:3" x14ac:dyDescent="0.25">
      <c r="A39" s="481"/>
      <c r="B39" s="481" t="s">
        <v>527</v>
      </c>
      <c r="C39" s="467"/>
    </row>
    <row r="40" spans="1:3" x14ac:dyDescent="0.25">
      <c r="A40" s="482" t="s">
        <v>528</v>
      </c>
      <c r="B40" s="469" t="s">
        <v>529</v>
      </c>
      <c r="C40" s="480"/>
    </row>
    <row r="41" spans="1:3" x14ac:dyDescent="0.25">
      <c r="A41" s="483" t="s">
        <v>530</v>
      </c>
      <c r="B41" s="471" t="s">
        <v>531</v>
      </c>
      <c r="C41" s="480"/>
    </row>
    <row r="43" spans="1:3" x14ac:dyDescent="0.25">
      <c r="B43" s="484" t="s">
        <v>532</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FC1B0-07C3-4687-9C17-AE0CAC8981CA}">
  <dimension ref="A1:L42"/>
  <sheetViews>
    <sheetView zoomScaleNormal="100" workbookViewId="0">
      <pane xSplit="2" ySplit="6" topLeftCell="C21" activePane="bottomRight" state="frozen"/>
      <selection activeCell="H50" sqref="H50"/>
      <selection pane="topRight" activeCell="H50" sqref="H50"/>
      <selection pane="bottomLeft" activeCell="H50" sqref="H50"/>
      <selection pane="bottomRight" activeCell="G39" sqref="G39"/>
    </sheetView>
  </sheetViews>
  <sheetFormatPr defaultRowHeight="15" x14ac:dyDescent="0.25"/>
  <cols>
    <col min="1" max="1" width="9.85546875" style="19" bestFit="1" customWidth="1"/>
    <col min="2" max="2" width="95.140625" style="93" customWidth="1"/>
    <col min="3" max="7" width="17.5703125" style="19" customWidth="1"/>
    <col min="8" max="8" width="15.85546875" style="205" customWidth="1"/>
    <col min="9" max="9" width="12.85546875" style="205" bestFit="1" customWidth="1"/>
    <col min="10" max="10" width="11.140625" bestFit="1" customWidth="1"/>
    <col min="11" max="11" width="14.5703125" bestFit="1" customWidth="1"/>
    <col min="12" max="12" width="11.140625" bestFit="1" customWidth="1"/>
  </cols>
  <sheetData>
    <row r="1" spans="1:12" x14ac:dyDescent="0.25">
      <c r="A1" s="19" t="s">
        <v>41</v>
      </c>
      <c r="B1" s="19" t="str">
        <f>Info!C2</f>
        <v>სს სილქ ბანკი</v>
      </c>
    </row>
    <row r="2" spans="1:12" x14ac:dyDescent="0.25">
      <c r="A2" s="19" t="s">
        <v>42</v>
      </c>
      <c r="B2" s="23">
        <f>'1. key ratios'!B2</f>
        <v>45107</v>
      </c>
    </row>
    <row r="3" spans="1:12" x14ac:dyDescent="0.25">
      <c r="B3" s="485"/>
    </row>
    <row r="4" spans="1:12" ht="15.75" thickBot="1" x14ac:dyDescent="0.3">
      <c r="A4" s="19" t="s">
        <v>533</v>
      </c>
      <c r="B4" s="327" t="s">
        <v>30</v>
      </c>
    </row>
    <row r="5" spans="1:12" x14ac:dyDescent="0.25">
      <c r="A5" s="486"/>
      <c r="B5" s="487"/>
      <c r="C5" s="771" t="s">
        <v>534</v>
      </c>
      <c r="D5" s="771"/>
      <c r="E5" s="771"/>
      <c r="F5" s="771"/>
      <c r="G5" s="772" t="s">
        <v>535</v>
      </c>
    </row>
    <row r="6" spans="1:12" x14ac:dyDescent="0.25">
      <c r="A6" s="488"/>
      <c r="B6" s="489"/>
      <c r="C6" s="490" t="s">
        <v>536</v>
      </c>
      <c r="D6" s="490" t="s">
        <v>537</v>
      </c>
      <c r="E6" s="490" t="s">
        <v>538</v>
      </c>
      <c r="F6" s="490" t="s">
        <v>539</v>
      </c>
      <c r="G6" s="773"/>
    </row>
    <row r="7" spans="1:12" x14ac:dyDescent="0.25">
      <c r="A7" s="491"/>
      <c r="B7" s="492" t="s">
        <v>82</v>
      </c>
      <c r="C7" s="493"/>
      <c r="D7" s="493"/>
      <c r="E7" s="493"/>
      <c r="F7" s="493"/>
      <c r="G7" s="494"/>
    </row>
    <row r="8" spans="1:12" x14ac:dyDescent="0.25">
      <c r="A8" s="371">
        <v>1</v>
      </c>
      <c r="B8" s="495" t="s">
        <v>540</v>
      </c>
      <c r="C8" s="102">
        <f>SUM(C9:C10)</f>
        <v>49454613.058878683</v>
      </c>
      <c r="D8" s="102">
        <f>SUM(D9:D10)</f>
        <v>0</v>
      </c>
      <c r="E8" s="102">
        <f>SUM(E9:E10)</f>
        <v>0</v>
      </c>
      <c r="F8" s="102">
        <f>SUM(F9)</f>
        <v>2875000</v>
      </c>
      <c r="G8" s="496">
        <f>SUM(G9)</f>
        <v>52329613.058878683</v>
      </c>
      <c r="H8" s="652"/>
    </row>
    <row r="9" spans="1:12" x14ac:dyDescent="0.25">
      <c r="A9" s="371">
        <v>2</v>
      </c>
      <c r="B9" s="497" t="s">
        <v>20</v>
      </c>
      <c r="C9" s="102">
        <v>49454613.058878683</v>
      </c>
      <c r="D9" s="102"/>
      <c r="E9" s="102"/>
      <c r="F9" s="102">
        <v>2875000</v>
      </c>
      <c r="G9" s="496">
        <f>SUM(C9:F9)*1</f>
        <v>52329613.058878683</v>
      </c>
      <c r="H9" s="652"/>
    </row>
    <row r="10" spans="1:12" x14ac:dyDescent="0.25">
      <c r="A10" s="371">
        <v>3</v>
      </c>
      <c r="B10" s="497" t="s">
        <v>541</v>
      </c>
      <c r="C10" s="498"/>
      <c r="D10" s="498"/>
      <c r="E10" s="498"/>
      <c r="F10" s="102">
        <v>3575822.4200000009</v>
      </c>
      <c r="G10" s="496">
        <f>SUM(C10:F10)*1</f>
        <v>3575822.4200000009</v>
      </c>
      <c r="H10" s="652"/>
    </row>
    <row r="11" spans="1:12" x14ac:dyDescent="0.25">
      <c r="A11" s="371">
        <v>4</v>
      </c>
      <c r="B11" s="495" t="s">
        <v>542</v>
      </c>
      <c r="C11" s="102">
        <f>SUM(C12:C13)</f>
        <v>4209844.17</v>
      </c>
      <c r="D11" s="102">
        <f>SUM(D12:D13)</f>
        <v>640903.82000000007</v>
      </c>
      <c r="E11" s="102">
        <f>SUM(E12:E13)</f>
        <v>8458435.6799999997</v>
      </c>
      <c r="F11" s="102">
        <f>SUM(F12:F13)</f>
        <v>41909.379999999997</v>
      </c>
      <c r="G11" s="496">
        <f>SUM(G12:G13)</f>
        <v>12551260.735499999</v>
      </c>
      <c r="H11" s="652"/>
    </row>
    <row r="12" spans="1:12" x14ac:dyDescent="0.25">
      <c r="A12" s="371">
        <v>5</v>
      </c>
      <c r="B12" s="497" t="s">
        <v>543</v>
      </c>
      <c r="C12" s="102">
        <v>3956446.1399999997</v>
      </c>
      <c r="D12" s="110">
        <v>640903.82000000007</v>
      </c>
      <c r="E12" s="102">
        <v>8417883.3499999996</v>
      </c>
      <c r="F12" s="102">
        <v>41909.379999999997</v>
      </c>
      <c r="G12" s="496">
        <f>SUM(C12:F12)*0.95</f>
        <v>12404285.555499999</v>
      </c>
      <c r="H12" s="652"/>
      <c r="J12" s="118"/>
      <c r="K12" s="499"/>
      <c r="L12" s="118"/>
    </row>
    <row r="13" spans="1:12" x14ac:dyDescent="0.25">
      <c r="A13" s="371">
        <v>6</v>
      </c>
      <c r="B13" s="497" t="s">
        <v>544</v>
      </c>
      <c r="C13" s="102">
        <v>253398.02999999997</v>
      </c>
      <c r="D13" s="110">
        <v>0</v>
      </c>
      <c r="E13" s="102">
        <v>40552.33</v>
      </c>
      <c r="F13" s="102">
        <v>0</v>
      </c>
      <c r="G13" s="496">
        <f>SUM(C13:F13)/2</f>
        <v>146975.18</v>
      </c>
      <c r="H13" s="652"/>
      <c r="L13" s="118">
        <f>L11-L12</f>
        <v>0</v>
      </c>
    </row>
    <row r="14" spans="1:12" x14ac:dyDescent="0.25">
      <c r="A14" s="371">
        <v>7</v>
      </c>
      <c r="B14" s="495" t="s">
        <v>545</v>
      </c>
      <c r="C14" s="102">
        <f>SUM(C15:C16)</f>
        <v>9089786.7500000019</v>
      </c>
      <c r="D14" s="102">
        <f>SUM(D15:D16)</f>
        <v>120000</v>
      </c>
      <c r="E14" s="102">
        <f>SUM(E15:E16)</f>
        <v>53617700</v>
      </c>
      <c r="F14" s="102">
        <f>SUM(F15:F16)</f>
        <v>171412.4</v>
      </c>
      <c r="G14" s="496">
        <f>SUM(G15:G16)</f>
        <v>30740919.960000001</v>
      </c>
      <c r="H14" s="652"/>
      <c r="L14" s="118"/>
    </row>
    <row r="15" spans="1:12" ht="51" x14ac:dyDescent="0.25">
      <c r="A15" s="371">
        <v>8</v>
      </c>
      <c r="B15" s="500" t="s">
        <v>546</v>
      </c>
      <c r="C15" s="102">
        <v>7572727.5200000014</v>
      </c>
      <c r="D15" s="501">
        <v>120000</v>
      </c>
      <c r="E15" s="501">
        <v>53617700</v>
      </c>
      <c r="F15" s="501">
        <v>171412.4</v>
      </c>
      <c r="G15" s="496">
        <f>SUM(C15:F15)/2</f>
        <v>30740919.960000001</v>
      </c>
      <c r="H15" s="652"/>
      <c r="I15" s="652"/>
      <c r="K15" s="121"/>
      <c r="L15" s="118"/>
    </row>
    <row r="16" spans="1:12" ht="26.25" x14ac:dyDescent="0.25">
      <c r="A16" s="371">
        <v>9</v>
      </c>
      <c r="B16" s="497" t="s">
        <v>547</v>
      </c>
      <c r="C16" s="502">
        <v>1517059.23</v>
      </c>
      <c r="D16" s="502">
        <f>'2. SOFP'!E43</f>
        <v>0</v>
      </c>
      <c r="E16" s="102"/>
      <c r="F16" s="102"/>
      <c r="G16" s="496">
        <f>C16*0+D16*0</f>
        <v>0</v>
      </c>
    </row>
    <row r="17" spans="1:9" x14ac:dyDescent="0.25">
      <c r="A17" s="371">
        <v>10</v>
      </c>
      <c r="B17" s="495" t="s">
        <v>548</v>
      </c>
      <c r="C17" s="102"/>
      <c r="D17" s="110"/>
      <c r="E17" s="102"/>
      <c r="F17" s="102"/>
      <c r="G17" s="496"/>
    </row>
    <row r="18" spans="1:9" x14ac:dyDescent="0.25">
      <c r="A18" s="371">
        <v>11</v>
      </c>
      <c r="B18" s="495" t="s">
        <v>135</v>
      </c>
      <c r="C18" s="102">
        <f>SUM(C19:C20)</f>
        <v>3435914.4657447194</v>
      </c>
      <c r="D18" s="110">
        <f>SUM(D19:D20)</f>
        <v>229983.9425461124</v>
      </c>
      <c r="E18" s="102">
        <f>SUM(E19:E20)</f>
        <v>0</v>
      </c>
      <c r="F18" s="102">
        <f>SUM(F19:F20)</f>
        <v>0</v>
      </c>
      <c r="G18" s="496">
        <f>SUM(G19:G20)</f>
        <v>0</v>
      </c>
    </row>
    <row r="19" spans="1:9" x14ac:dyDescent="0.25">
      <c r="A19" s="371">
        <v>12</v>
      </c>
      <c r="B19" s="497" t="s">
        <v>549</v>
      </c>
      <c r="C19" s="498"/>
      <c r="D19" s="110">
        <v>229983.9425461124</v>
      </c>
      <c r="E19" s="102"/>
      <c r="F19" s="102"/>
      <c r="G19" s="496">
        <f>D19*0</f>
        <v>0</v>
      </c>
      <c r="H19" s="222"/>
    </row>
    <row r="20" spans="1:9" ht="26.25" x14ac:dyDescent="0.25">
      <c r="A20" s="371">
        <v>13</v>
      </c>
      <c r="B20" s="497" t="s">
        <v>550</v>
      </c>
      <c r="C20" s="102">
        <v>3435914.4657447194</v>
      </c>
      <c r="D20" s="102"/>
      <c r="E20" s="102"/>
      <c r="F20" s="102"/>
      <c r="G20" s="496">
        <f>C20*0</f>
        <v>0</v>
      </c>
      <c r="H20" s="652"/>
    </row>
    <row r="21" spans="1:9" x14ac:dyDescent="0.25">
      <c r="A21" s="503">
        <v>14</v>
      </c>
      <c r="B21" s="504" t="s">
        <v>551</v>
      </c>
      <c r="C21" s="498"/>
      <c r="D21" s="498"/>
      <c r="E21" s="498"/>
      <c r="F21" s="498"/>
      <c r="G21" s="505">
        <f>SUM(G8,G11,G14,G17,G18,G10)</f>
        <v>99197616.174378678</v>
      </c>
      <c r="H21" s="652"/>
    </row>
    <row r="22" spans="1:9" x14ac:dyDescent="0.25">
      <c r="A22" s="506"/>
      <c r="B22" s="507" t="s">
        <v>83</v>
      </c>
      <c r="C22" s="508"/>
      <c r="D22" s="509"/>
      <c r="E22" s="508"/>
      <c r="F22" s="508"/>
      <c r="G22" s="510"/>
    </row>
    <row r="23" spans="1:9" x14ac:dyDescent="0.25">
      <c r="A23" s="371">
        <v>15</v>
      </c>
      <c r="B23" s="495" t="s">
        <v>460</v>
      </c>
      <c r="C23" s="105">
        <v>92571549.499999985</v>
      </c>
      <c r="D23" s="105"/>
      <c r="E23" s="105"/>
      <c r="F23" s="105">
        <v>26177</v>
      </c>
      <c r="G23" s="511">
        <v>4213972.1605000012</v>
      </c>
      <c r="H23" s="652"/>
      <c r="I23" s="652"/>
    </row>
    <row r="24" spans="1:9" x14ac:dyDescent="0.25">
      <c r="A24" s="371">
        <v>16</v>
      </c>
      <c r="B24" s="495" t="s">
        <v>552</v>
      </c>
      <c r="C24" s="102">
        <f>SUM(C25:C27,C29,C31)</f>
        <v>0</v>
      </c>
      <c r="D24" s="110">
        <f>SUM(D25:D27,D29,D31)</f>
        <v>1324160.0208637784</v>
      </c>
      <c r="E24" s="102">
        <f>SUM(E25:E27,E29,E31)</f>
        <v>278663.30122016359</v>
      </c>
      <c r="F24" s="102">
        <f>SUM(F25:F27,F29,F31)</f>
        <v>21049537.665303148</v>
      </c>
      <c r="G24" s="496">
        <f>SUM(G25:G27,G29,G31)</f>
        <v>18769345.548486628</v>
      </c>
      <c r="I24" s="652"/>
    </row>
    <row r="25" spans="1:9" ht="26.25" x14ac:dyDescent="0.25">
      <c r="A25" s="371">
        <v>17</v>
      </c>
      <c r="B25" s="497" t="s">
        <v>553</v>
      </c>
      <c r="C25" s="102"/>
      <c r="D25" s="110"/>
      <c r="E25" s="102"/>
      <c r="F25" s="102"/>
      <c r="G25" s="496"/>
    </row>
    <row r="26" spans="1:9" ht="26.25" x14ac:dyDescent="0.25">
      <c r="A26" s="371">
        <v>18</v>
      </c>
      <c r="B26" s="497" t="s">
        <v>554</v>
      </c>
      <c r="C26" s="102"/>
      <c r="D26" s="110">
        <v>222536.84000000005</v>
      </c>
      <c r="E26" s="102"/>
      <c r="F26" s="102"/>
      <c r="G26" s="496">
        <f>D26*0.15</f>
        <v>33380.526000000005</v>
      </c>
      <c r="H26" s="652"/>
      <c r="I26" s="652"/>
    </row>
    <row r="27" spans="1:9" x14ac:dyDescent="0.25">
      <c r="A27" s="371">
        <v>19</v>
      </c>
      <c r="B27" s="497" t="s">
        <v>555</v>
      </c>
      <c r="C27" s="102"/>
      <c r="D27" s="105">
        <v>1101623.1808637783</v>
      </c>
      <c r="E27" s="105">
        <v>232070.36228668116</v>
      </c>
      <c r="F27" s="105">
        <v>19829604.886873331</v>
      </c>
      <c r="G27" s="496">
        <v>17675725.691354543</v>
      </c>
      <c r="H27" s="652"/>
      <c r="I27" s="652"/>
    </row>
    <row r="28" spans="1:9" x14ac:dyDescent="0.25">
      <c r="A28" s="371">
        <v>20</v>
      </c>
      <c r="B28" s="512" t="s">
        <v>556</v>
      </c>
      <c r="C28" s="102"/>
      <c r="E28" s="102"/>
      <c r="F28" s="102"/>
      <c r="G28" s="496"/>
    </row>
    <row r="29" spans="1:9" x14ac:dyDescent="0.25">
      <c r="A29" s="371">
        <v>21</v>
      </c>
      <c r="B29" s="497" t="s">
        <v>557</v>
      </c>
      <c r="C29" s="102"/>
      <c r="D29" s="110"/>
      <c r="E29" s="102"/>
      <c r="F29" s="102"/>
      <c r="G29" s="496"/>
    </row>
    <row r="30" spans="1:9" x14ac:dyDescent="0.25">
      <c r="A30" s="371">
        <v>22</v>
      </c>
      <c r="B30" s="512" t="s">
        <v>556</v>
      </c>
      <c r="C30" s="102"/>
      <c r="D30" s="110"/>
      <c r="E30" s="102"/>
      <c r="F30" s="102"/>
      <c r="G30" s="496"/>
    </row>
    <row r="31" spans="1:9" x14ac:dyDescent="0.25">
      <c r="A31" s="371">
        <v>23</v>
      </c>
      <c r="B31" s="497" t="s">
        <v>558</v>
      </c>
      <c r="C31" s="102"/>
      <c r="D31" s="105">
        <v>0</v>
      </c>
      <c r="E31" s="105">
        <v>46592.938933482394</v>
      </c>
      <c r="F31" s="102">
        <v>1219932.7784298155</v>
      </c>
      <c r="G31" s="496">
        <f>E31*0.5+F31*0.85</f>
        <v>1060239.3311320844</v>
      </c>
      <c r="H31" s="652"/>
      <c r="I31"/>
    </row>
    <row r="32" spans="1:9" x14ac:dyDescent="0.25">
      <c r="A32" s="371">
        <v>24</v>
      </c>
      <c r="B32" s="495" t="s">
        <v>559</v>
      </c>
      <c r="C32" s="102"/>
      <c r="D32" s="110"/>
      <c r="E32" s="102"/>
      <c r="F32" s="102"/>
      <c r="G32" s="496"/>
    </row>
    <row r="33" spans="1:9" x14ac:dyDescent="0.25">
      <c r="A33" s="371">
        <v>25</v>
      </c>
      <c r="B33" s="495" t="s">
        <v>118</v>
      </c>
      <c r="C33" s="102">
        <f>SUM(C34:C35)</f>
        <v>13932702.751004241</v>
      </c>
      <c r="D33" s="102">
        <f>SUM(D34:D35)</f>
        <v>762187.83127073664</v>
      </c>
      <c r="E33" s="102">
        <f>SUM(E34:E35)</f>
        <v>0</v>
      </c>
      <c r="F33" s="102">
        <f>SUM(F34:F35)</f>
        <v>5976348.2615073575</v>
      </c>
      <c r="G33" s="496">
        <f>SUM(G34:G35)</f>
        <v>20297004.928146966</v>
      </c>
    </row>
    <row r="34" spans="1:9" x14ac:dyDescent="0.25">
      <c r="A34" s="371">
        <v>26</v>
      </c>
      <c r="B34" s="497" t="s">
        <v>560</v>
      </c>
      <c r="C34" s="498"/>
      <c r="D34" s="110">
        <v>13720</v>
      </c>
      <c r="E34" s="102"/>
      <c r="F34" s="102"/>
      <c r="G34" s="496">
        <f>D34*1</f>
        <v>13720</v>
      </c>
      <c r="H34" s="652"/>
      <c r="I34" s="652"/>
    </row>
    <row r="35" spans="1:9" x14ac:dyDescent="0.25">
      <c r="A35" s="371">
        <v>27</v>
      </c>
      <c r="B35" s="497" t="s">
        <v>561</v>
      </c>
      <c r="C35" s="102">
        <f>'2. SOFP'!E25-'2. SOFP'!C64-'2. SOFP'!C29</f>
        <v>13932702.751004241</v>
      </c>
      <c r="D35" s="110">
        <v>748467.83127073664</v>
      </c>
      <c r="E35" s="102"/>
      <c r="F35" s="102">
        <v>5976348.2615073575</v>
      </c>
      <c r="G35" s="496">
        <f>C35+D35*0.5+F35</f>
        <v>20283284.928146966</v>
      </c>
      <c r="H35" s="652"/>
    </row>
    <row r="36" spans="1:9" x14ac:dyDescent="0.25">
      <c r="A36" s="371">
        <v>28</v>
      </c>
      <c r="B36" s="495" t="s">
        <v>562</v>
      </c>
      <c r="C36" s="102"/>
      <c r="D36" s="110">
        <v>2276214.58</v>
      </c>
      <c r="E36" s="102">
        <v>209600</v>
      </c>
      <c r="F36" s="102">
        <v>555677</v>
      </c>
      <c r="G36" s="496">
        <f>D36*0.05+E36*0.1+F36*0.15</f>
        <v>218122.27899999998</v>
      </c>
    </row>
    <row r="37" spans="1:9" x14ac:dyDescent="0.25">
      <c r="A37" s="503">
        <v>29</v>
      </c>
      <c r="B37" s="504" t="s">
        <v>563</v>
      </c>
      <c r="C37" s="498"/>
      <c r="D37" s="498"/>
      <c r="E37" s="498"/>
      <c r="F37" s="498"/>
      <c r="G37" s="505">
        <f>SUM(G23:G24,G32:G33,G36)</f>
        <v>43498444.916133597</v>
      </c>
      <c r="H37" s="652"/>
      <c r="I37" s="652"/>
    </row>
    <row r="38" spans="1:9" x14ac:dyDescent="0.25">
      <c r="A38" s="491"/>
      <c r="B38" s="513"/>
      <c r="C38" s="514"/>
      <c r="D38" s="514"/>
      <c r="E38" s="514"/>
      <c r="F38" s="514"/>
      <c r="G38" s="515"/>
    </row>
    <row r="39" spans="1:9" ht="15.75" thickBot="1" x14ac:dyDescent="0.3">
      <c r="A39" s="516">
        <v>30</v>
      </c>
      <c r="B39" s="517" t="s">
        <v>30</v>
      </c>
      <c r="C39" s="518"/>
      <c r="D39" s="414"/>
      <c r="E39" s="414"/>
      <c r="F39" s="415"/>
      <c r="G39" s="519">
        <f>IFERROR(G21/G37,0)</f>
        <v>2.2804864947617065</v>
      </c>
      <c r="I39" s="642"/>
    </row>
    <row r="42" spans="1:9" ht="26.25" x14ac:dyDescent="0.25">
      <c r="B42" s="93" t="s">
        <v>564</v>
      </c>
    </row>
  </sheetData>
  <mergeCells count="2">
    <mergeCell ref="C5:F5"/>
    <mergeCell ref="G5:G6"/>
  </mergeCells>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C05A-201F-491A-BEF6-98AED2540ACD}">
  <dimension ref="A1:L51"/>
  <sheetViews>
    <sheetView zoomScaleNormal="130" workbookViewId="0">
      <pane xSplit="1" ySplit="5" topLeftCell="B29" activePane="bottomRight" state="frozen"/>
      <selection activeCell="H50" sqref="H50"/>
      <selection pane="topRight" activeCell="H50" sqref="H50"/>
      <selection pane="bottomLeft" activeCell="H50" sqref="H50"/>
      <selection pane="bottomRight" activeCell="C48" sqref="C48"/>
    </sheetView>
  </sheetViews>
  <sheetFormatPr defaultRowHeight="15.75" x14ac:dyDescent="0.3"/>
  <cols>
    <col min="1" max="1" width="9.5703125" style="92" bestFit="1" customWidth="1"/>
    <col min="2" max="2" width="55.28515625" style="22" customWidth="1"/>
    <col min="3" max="3" width="12.7109375" style="22" customWidth="1"/>
    <col min="4" max="7" width="12.7109375" style="19" customWidth="1"/>
    <col min="8" max="8" width="15.42578125" customWidth="1"/>
    <col min="9" max="12" width="10.28515625" bestFit="1" customWidth="1"/>
    <col min="13" max="13" width="6.7109375" customWidth="1"/>
  </cols>
  <sheetData>
    <row r="1" spans="1:12" x14ac:dyDescent="0.3">
      <c r="A1" s="20" t="s">
        <v>41</v>
      </c>
      <c r="B1" s="21" t="str">
        <f>Info!C2</f>
        <v>სს სილქ ბანკი</v>
      </c>
    </row>
    <row r="2" spans="1:12" x14ac:dyDescent="0.3">
      <c r="A2" s="20" t="s">
        <v>42</v>
      </c>
      <c r="B2" s="23">
        <v>45107</v>
      </c>
    </row>
    <row r="3" spans="1:12" ht="16.5" thickBot="1" x14ac:dyDescent="0.35">
      <c r="A3" s="20"/>
    </row>
    <row r="4" spans="1:12" ht="16.5" thickBot="1" x14ac:dyDescent="0.35">
      <c r="A4" s="25" t="s">
        <v>43</v>
      </c>
      <c r="B4" s="26" t="s">
        <v>12</v>
      </c>
      <c r="C4" s="27"/>
      <c r="D4" s="718" t="s">
        <v>44</v>
      </c>
      <c r="E4" s="719"/>
      <c r="F4" s="719"/>
      <c r="G4" s="720"/>
      <c r="I4" s="709" t="s">
        <v>45</v>
      </c>
      <c r="J4" s="710"/>
      <c r="K4" s="710"/>
      <c r="L4" s="711"/>
    </row>
    <row r="5" spans="1:12" ht="15" x14ac:dyDescent="0.25">
      <c r="A5" s="28" t="s">
        <v>46</v>
      </c>
      <c r="B5" s="29"/>
      <c r="C5" s="30" t="str">
        <f>INT((MONTH($B$2))/3)&amp;"Q"&amp;"-"&amp;YEAR($B$2)</f>
        <v>2Q-2023</v>
      </c>
      <c r="D5" s="30" t="str">
        <f>IF(INT(MONTH($B$2))=3, "4"&amp;"Q"&amp;"-"&amp;YEAR($B$2)-1, IF(INT(MONTH($B$2))=6, "1"&amp;"Q"&amp;"-"&amp;YEAR($B$2), IF(INT(MONTH($B$2))=9, "2"&amp;"Q"&amp;"-"&amp;YEAR($B$2),IF(INT(MONTH($B$2))=12, "3"&amp;"Q"&amp;"-"&amp;YEAR($B$2), 0))))</f>
        <v>1Q-2023</v>
      </c>
      <c r="E5" s="30" t="str">
        <f>IF(INT(MONTH($B$2))=3, "3"&amp;"Q"&amp;"-"&amp;YEAR($B$2)-1, IF(INT(MONTH($B$2))=6, "4"&amp;"Q"&amp;"-"&amp;YEAR($B$2)-1, IF(INT(MONTH($B$2))=9, "1"&amp;"Q"&amp;"-"&amp;YEAR($B$2),IF(INT(MONTH($B$2))=12, "2"&amp;"Q"&amp;"-"&amp;YEAR($B$2), 0))))</f>
        <v>4Q-2022</v>
      </c>
      <c r="F5" s="30" t="str">
        <f>IF(INT(MONTH($B$2))=3, "2"&amp;"Q"&amp;"-"&amp;YEAR($B$2)-1, IF(INT(MONTH($B$2))=6, "3"&amp;"Q"&amp;"-"&amp;YEAR($B$2)-1, IF(INT(MONTH($B$2))=9, "4"&amp;"Q"&amp;"-"&amp;YEAR($B$2)-1,IF(INT(MONTH($B$2))=12, "1"&amp;"Q"&amp;"-"&amp;YEAR($B$2), 0))))</f>
        <v>3Q-2022</v>
      </c>
      <c r="G5" s="31" t="str">
        <f>IF(INT(MONTH($B$2))=3, "1"&amp;"Q"&amp;"-"&amp;YEAR($B$2)-1, IF(INT(MONTH($B$2))=6, "2"&amp;"Q"&amp;"-"&amp;YEAR($B$2)-1, IF(INT(MONTH($B$2))=9, "3"&amp;"Q"&amp;"-"&amp;YEAR($B$2)-1,IF(INT(MONTH($B$2))=12, "4"&amp;"Q"&amp;"-"&amp;YEAR($B$2)-1, 0))))</f>
        <v>2Q-2022</v>
      </c>
      <c r="I5" s="32" t="str">
        <f>D5</f>
        <v>1Q-2023</v>
      </c>
      <c r="J5" s="30" t="str">
        <f>E5</f>
        <v>4Q-2022</v>
      </c>
      <c r="K5" s="30" t="str">
        <f>F5</f>
        <v>3Q-2022</v>
      </c>
      <c r="L5" s="31" t="str">
        <f>G5</f>
        <v>2Q-2022</v>
      </c>
    </row>
    <row r="6" spans="1:12" ht="15" x14ac:dyDescent="0.25">
      <c r="A6" s="33"/>
      <c r="B6" s="34" t="s">
        <v>47</v>
      </c>
      <c r="C6" s="716"/>
      <c r="D6" s="704"/>
      <c r="E6" s="704"/>
      <c r="F6" s="704"/>
      <c r="G6" s="705"/>
      <c r="I6" s="703"/>
      <c r="J6" s="704"/>
      <c r="K6" s="704"/>
      <c r="L6" s="705"/>
    </row>
    <row r="7" spans="1:12" ht="15" x14ac:dyDescent="0.25">
      <c r="A7" s="33"/>
      <c r="B7" s="35" t="s">
        <v>48</v>
      </c>
      <c r="C7" s="717"/>
      <c r="D7" s="707"/>
      <c r="E7" s="707"/>
      <c r="F7" s="707"/>
      <c r="G7" s="708"/>
      <c r="I7" s="706"/>
      <c r="J7" s="707"/>
      <c r="K7" s="707"/>
      <c r="L7" s="708"/>
    </row>
    <row r="8" spans="1:12" ht="15" x14ac:dyDescent="0.25">
      <c r="A8" s="36">
        <v>1</v>
      </c>
      <c r="B8" s="37" t="s">
        <v>49</v>
      </c>
      <c r="C8" s="38">
        <v>49454613.058878683</v>
      </c>
      <c r="D8" s="39">
        <v>50701215.87856701</v>
      </c>
      <c r="E8" s="39">
        <v>52357110.058280259</v>
      </c>
      <c r="F8" s="39">
        <v>51696103.10465353</v>
      </c>
      <c r="G8" s="40">
        <v>52403622.158149272</v>
      </c>
      <c r="I8" s="41">
        <v>48511184.540000007</v>
      </c>
      <c r="J8" s="39">
        <v>47033072.099999994</v>
      </c>
      <c r="K8" s="39">
        <v>47669109.719999999</v>
      </c>
      <c r="L8" s="40">
        <v>48782730.109999999</v>
      </c>
    </row>
    <row r="9" spans="1:12" ht="15" x14ac:dyDescent="0.25">
      <c r="A9" s="36">
        <v>2</v>
      </c>
      <c r="B9" s="37" t="s">
        <v>50</v>
      </c>
      <c r="C9" s="38">
        <v>49454613.058878683</v>
      </c>
      <c r="D9" s="39">
        <v>50701215.87856701</v>
      </c>
      <c r="E9" s="39">
        <v>52357110.058280259</v>
      </c>
      <c r="F9" s="39">
        <v>51696103.10465353</v>
      </c>
      <c r="G9" s="40">
        <v>52403622.158149272</v>
      </c>
      <c r="I9" s="41">
        <v>48511184.540000007</v>
      </c>
      <c r="J9" s="39">
        <v>47033072.099999994</v>
      </c>
      <c r="K9" s="39">
        <v>47669109.719999999</v>
      </c>
      <c r="L9" s="40">
        <v>48782730.109999999</v>
      </c>
    </row>
    <row r="10" spans="1:12" ht="15" x14ac:dyDescent="0.25">
      <c r="A10" s="36">
        <v>3</v>
      </c>
      <c r="B10" s="37" t="s">
        <v>20</v>
      </c>
      <c r="C10" s="38">
        <v>52329613.058878683</v>
      </c>
      <c r="D10" s="39">
        <v>53576215.87856701</v>
      </c>
      <c r="E10" s="39">
        <v>55232110.058280259</v>
      </c>
      <c r="F10" s="39">
        <v>54571103.10465353</v>
      </c>
      <c r="G10" s="40">
        <v>54903622.158149272</v>
      </c>
      <c r="I10" s="41">
        <v>51806334.150000006</v>
      </c>
      <c r="J10" s="39">
        <v>50425926.109999992</v>
      </c>
      <c r="K10" s="39">
        <v>50544809.549999997</v>
      </c>
      <c r="L10" s="40">
        <v>51647000.859999999</v>
      </c>
    </row>
    <row r="11" spans="1:12" ht="15" x14ac:dyDescent="0.25">
      <c r="A11" s="36">
        <v>4</v>
      </c>
      <c r="B11" s="37" t="s">
        <v>51</v>
      </c>
      <c r="C11" s="38">
        <v>11640056.833975865</v>
      </c>
      <c r="D11" s="39">
        <v>10119514.466354832</v>
      </c>
      <c r="E11" s="39">
        <v>9869797.0652740672</v>
      </c>
      <c r="F11" s="39">
        <v>11345324.36468773</v>
      </c>
      <c r="G11" s="40">
        <v>9714031.6837478746</v>
      </c>
      <c r="I11" s="41">
        <v>6435500.856027049</v>
      </c>
      <c r="J11" s="39">
        <v>7730929.6487218384</v>
      </c>
      <c r="K11" s="39">
        <v>5206706.6113385735</v>
      </c>
      <c r="L11" s="40">
        <v>6735696.2838718379</v>
      </c>
    </row>
    <row r="12" spans="1:12" ht="15" x14ac:dyDescent="0.25">
      <c r="A12" s="36">
        <v>5</v>
      </c>
      <c r="B12" s="37" t="s">
        <v>52</v>
      </c>
      <c r="C12" s="38">
        <v>14486984.605279732</v>
      </c>
      <c r="D12" s="39">
        <v>12133949.698290095</v>
      </c>
      <c r="E12" s="39">
        <v>12081288.86648277</v>
      </c>
      <c r="F12" s="39">
        <v>13841766.856757026</v>
      </c>
      <c r="G12" s="40">
        <v>11753941.631301166</v>
      </c>
      <c r="I12" s="41">
        <v>8581167.2055233996</v>
      </c>
      <c r="J12" s="39">
        <v>10308419.729979118</v>
      </c>
      <c r="K12" s="39">
        <v>6942485.309496766</v>
      </c>
      <c r="L12" s="40">
        <v>8981159.282382451</v>
      </c>
    </row>
    <row r="13" spans="1:12" ht="15" x14ac:dyDescent="0.25">
      <c r="A13" s="36">
        <v>6</v>
      </c>
      <c r="B13" s="37" t="s">
        <v>53</v>
      </c>
      <c r="C13" s="38">
        <v>18251608.740372974</v>
      </c>
      <c r="D13" s="39">
        <v>15552177.06800996</v>
      </c>
      <c r="E13" s="39">
        <v>16711497.775026551</v>
      </c>
      <c r="F13" s="39">
        <v>19227806.539750431</v>
      </c>
      <c r="G13" s="40">
        <v>17064451.250638548</v>
      </c>
      <c r="I13" s="41">
        <v>13119687.070131311</v>
      </c>
      <c r="J13" s="39">
        <v>15779925.709801527</v>
      </c>
      <c r="K13" s="39">
        <v>12782659.366280219</v>
      </c>
      <c r="L13" s="40">
        <v>15671110.145961303</v>
      </c>
    </row>
    <row r="14" spans="1:12" ht="25.5" x14ac:dyDescent="0.25">
      <c r="A14" s="33"/>
      <c r="B14" s="34" t="s">
        <v>54</v>
      </c>
      <c r="C14" s="715"/>
      <c r="D14" s="701"/>
      <c r="E14" s="701"/>
      <c r="F14" s="701"/>
      <c r="G14" s="702"/>
      <c r="I14" s="700"/>
      <c r="J14" s="701"/>
      <c r="K14" s="701"/>
      <c r="L14" s="702"/>
    </row>
    <row r="15" spans="1:12" ht="21.95" customHeight="1" x14ac:dyDescent="0.25">
      <c r="A15" s="36">
        <v>7</v>
      </c>
      <c r="B15" s="37" t="s">
        <v>55</v>
      </c>
      <c r="C15" s="43">
        <v>70932856.834983379</v>
      </c>
      <c r="D15" s="39">
        <v>57614061.346276328</v>
      </c>
      <c r="E15" s="39">
        <v>61454294.813858084</v>
      </c>
      <c r="F15" s="39">
        <v>75106375.810502693</v>
      </c>
      <c r="G15" s="39">
        <v>61608903.686330736</v>
      </c>
      <c r="I15" s="41">
        <v>57240173.042884499</v>
      </c>
      <c r="J15" s="39">
        <v>68112948.195683539</v>
      </c>
      <c r="K15" s="39">
        <v>53853117.125751503</v>
      </c>
      <c r="L15" s="40">
        <v>71891560.79072018</v>
      </c>
    </row>
    <row r="16" spans="1:12" ht="15" x14ac:dyDescent="0.25">
      <c r="A16" s="33"/>
      <c r="B16" s="34" t="s">
        <v>56</v>
      </c>
      <c r="C16" s="716"/>
      <c r="D16" s="704"/>
      <c r="E16" s="704"/>
      <c r="F16" s="704"/>
      <c r="G16" s="705"/>
      <c r="I16" s="703"/>
      <c r="J16" s="704"/>
      <c r="K16" s="704"/>
      <c r="L16" s="705"/>
    </row>
    <row r="17" spans="1:12" ht="15" x14ac:dyDescent="0.25">
      <c r="A17" s="36"/>
      <c r="B17" s="35" t="s">
        <v>57</v>
      </c>
      <c r="C17" s="717"/>
      <c r="D17" s="707"/>
      <c r="E17" s="707"/>
      <c r="F17" s="707"/>
      <c r="G17" s="708"/>
      <c r="I17" s="706"/>
      <c r="J17" s="707"/>
      <c r="K17" s="707"/>
      <c r="L17" s="708"/>
    </row>
    <row r="18" spans="1:12" ht="15" x14ac:dyDescent="0.25">
      <c r="A18" s="36">
        <v>8</v>
      </c>
      <c r="B18" s="37" t="s">
        <v>58</v>
      </c>
      <c r="C18" s="44">
        <v>0.69720317586994696</v>
      </c>
      <c r="D18" s="44">
        <v>0.88001461264531899</v>
      </c>
      <c r="E18" s="44">
        <v>0.85196828337006014</v>
      </c>
      <c r="F18" s="44">
        <v>0.68830512119351217</v>
      </c>
      <c r="G18" s="44">
        <v>0.85058520802369264</v>
      </c>
      <c r="I18" s="45">
        <v>0.84750240890528561</v>
      </c>
      <c r="J18" s="46">
        <v>0.6905158761426301</v>
      </c>
      <c r="K18" s="46">
        <v>0.88516899790013392</v>
      </c>
      <c r="L18" s="47">
        <v>0.67855989734329025</v>
      </c>
    </row>
    <row r="19" spans="1:12" ht="15" customHeight="1" x14ac:dyDescent="0.25">
      <c r="A19" s="36">
        <v>9</v>
      </c>
      <c r="B19" s="37" t="s">
        <v>59</v>
      </c>
      <c r="C19" s="44">
        <v>0.69720317586994696</v>
      </c>
      <c r="D19" s="44">
        <v>0.88001461264531899</v>
      </c>
      <c r="E19" s="44">
        <v>0.85196828337006014</v>
      </c>
      <c r="F19" s="44">
        <v>0.68830512119351217</v>
      </c>
      <c r="G19" s="44">
        <v>0.85058520802369264</v>
      </c>
      <c r="I19" s="45">
        <v>0.84750240890528561</v>
      </c>
      <c r="J19" s="46">
        <v>0.6905158761426301</v>
      </c>
      <c r="K19" s="46">
        <v>0.88516899790013392</v>
      </c>
      <c r="L19" s="47">
        <v>0.67855989734329025</v>
      </c>
    </row>
    <row r="20" spans="1:12" ht="15" x14ac:dyDescent="0.25">
      <c r="A20" s="36">
        <v>10</v>
      </c>
      <c r="B20" s="37" t="s">
        <v>60</v>
      </c>
      <c r="C20" s="44">
        <v>0.73773446317856806</v>
      </c>
      <c r="D20" s="44">
        <v>0.9299156252248777</v>
      </c>
      <c r="E20" s="44">
        <v>0.8987510185508677</v>
      </c>
      <c r="F20" s="44">
        <v>0.72658416167409368</v>
      </c>
      <c r="G20" s="44">
        <v>0.89116375836973094</v>
      </c>
      <c r="I20" s="45">
        <v>0.9050694887170686</v>
      </c>
      <c r="J20" s="46">
        <v>0.7403280498904552</v>
      </c>
      <c r="K20" s="46">
        <v>0.93856794643796881</v>
      </c>
      <c r="L20" s="47">
        <v>0.71840144089160796</v>
      </c>
    </row>
    <row r="21" spans="1:12" ht="15" x14ac:dyDescent="0.25">
      <c r="A21" s="36">
        <v>11</v>
      </c>
      <c r="B21" s="37" t="s">
        <v>51</v>
      </c>
      <c r="C21" s="44">
        <v>0.16409964793967108</v>
      </c>
      <c r="D21" s="48">
        <v>0.17564313693377337</v>
      </c>
      <c r="E21" s="46">
        <v>0.16060386170192298</v>
      </c>
      <c r="F21" s="46">
        <v>0.15105674108563799</v>
      </c>
      <c r="G21" s="46">
        <v>0.15767252949678995</v>
      </c>
      <c r="I21" s="45">
        <v>0.11242979386532521</v>
      </c>
      <c r="J21" s="46">
        <v>0.11350161538319323</v>
      </c>
      <c r="K21" s="46">
        <v>9.6683477006177396E-2</v>
      </c>
      <c r="L21" s="47">
        <v>9.3692447483227914E-2</v>
      </c>
    </row>
    <row r="22" spans="1:12" ht="15" x14ac:dyDescent="0.25">
      <c r="A22" s="36">
        <v>12</v>
      </c>
      <c r="B22" s="37" t="s">
        <v>52</v>
      </c>
      <c r="C22" s="44">
        <v>0.20423517748597003</v>
      </c>
      <c r="D22" s="48">
        <v>0.21060743531621084</v>
      </c>
      <c r="E22" s="46">
        <v>0.19658982180295739</v>
      </c>
      <c r="F22" s="46">
        <v>0.184295496985243</v>
      </c>
      <c r="G22" s="46">
        <v>0.19078316490006025</v>
      </c>
      <c r="I22" s="45">
        <v>0.14991511641822544</v>
      </c>
      <c r="J22" s="46">
        <v>0.151343026591123</v>
      </c>
      <c r="K22" s="46">
        <v>0.12891519897140746</v>
      </c>
      <c r="L22" s="47">
        <v>0.12492647514674277</v>
      </c>
    </row>
    <row r="23" spans="1:12" ht="15" x14ac:dyDescent="0.25">
      <c r="A23" s="36">
        <v>13</v>
      </c>
      <c r="B23" s="37" t="s">
        <v>53</v>
      </c>
      <c r="C23" s="44">
        <v>0.25730824267846863</v>
      </c>
      <c r="D23" s="48">
        <v>0.26993717687314395</v>
      </c>
      <c r="E23" s="46">
        <v>0.2719337651769469</v>
      </c>
      <c r="F23" s="46">
        <v>0.2560076469175292</v>
      </c>
      <c r="G23" s="46">
        <v>0.27698027768062145</v>
      </c>
      <c r="I23" s="45">
        <v>0.22920418252932262</v>
      </c>
      <c r="J23" s="46">
        <v>0.23167292163696906</v>
      </c>
      <c r="K23" s="46">
        <v>0.2373615502410315</v>
      </c>
      <c r="L23" s="47">
        <v>0.2179826112216518</v>
      </c>
    </row>
    <row r="24" spans="1:12" ht="15" x14ac:dyDescent="0.25">
      <c r="A24" s="33"/>
      <c r="B24" s="34" t="s">
        <v>61</v>
      </c>
      <c r="C24" s="715"/>
      <c r="D24" s="701"/>
      <c r="E24" s="701"/>
      <c r="F24" s="701"/>
      <c r="G24" s="702"/>
      <c r="I24" s="700"/>
      <c r="J24" s="701"/>
      <c r="K24" s="701"/>
      <c r="L24" s="702"/>
    </row>
    <row r="25" spans="1:12" ht="15" customHeight="1" x14ac:dyDescent="0.25">
      <c r="A25" s="49">
        <v>14</v>
      </c>
      <c r="B25" s="50" t="s">
        <v>62</v>
      </c>
      <c r="C25" s="51">
        <v>6.3219954094251546E-2</v>
      </c>
      <c r="D25" s="51">
        <v>6.871515570245626E-2</v>
      </c>
      <c r="E25" s="52">
        <v>6.4548651401964655E-2</v>
      </c>
      <c r="F25" s="52">
        <v>6.3433396223822935E-2</v>
      </c>
      <c r="G25" s="53">
        <v>6.2649296995530762E-2</v>
      </c>
      <c r="H25" s="54"/>
      <c r="I25" s="55">
        <v>6.9976078573742315E-2</v>
      </c>
      <c r="J25" s="52">
        <v>8.6712764166882422E-2</v>
      </c>
      <c r="K25" s="52">
        <v>6.8644437943282871E-2</v>
      </c>
      <c r="L25" s="53">
        <v>6.6340453031664887E-2</v>
      </c>
    </row>
    <row r="26" spans="1:12" ht="15" x14ac:dyDescent="0.25">
      <c r="A26" s="49">
        <v>15</v>
      </c>
      <c r="B26" s="50" t="s">
        <v>63</v>
      </c>
      <c r="C26" s="51">
        <v>1.9930076898371032E-2</v>
      </c>
      <c r="D26" s="56">
        <v>1.8944117503635696E-2</v>
      </c>
      <c r="E26" s="52">
        <v>2.7292070466854432E-2</v>
      </c>
      <c r="F26" s="52">
        <v>2.7741063879801957E-2</v>
      </c>
      <c r="G26" s="53">
        <v>2.9045142674792003E-2</v>
      </c>
      <c r="H26" s="54"/>
      <c r="I26" s="55">
        <v>2.9409129873193305E-2</v>
      </c>
      <c r="J26" s="52">
        <v>3.7733216878770522E-2</v>
      </c>
      <c r="K26" s="52">
        <v>3.1564328779412947E-2</v>
      </c>
      <c r="L26" s="53">
        <v>3.1725445419185233E-2</v>
      </c>
    </row>
    <row r="27" spans="1:12" ht="15" x14ac:dyDescent="0.25">
      <c r="A27" s="49">
        <v>16</v>
      </c>
      <c r="B27" s="50" t="s">
        <v>64</v>
      </c>
      <c r="C27" s="51">
        <v>-4.0784680519248731E-2</v>
      </c>
      <c r="D27" s="56">
        <v>-3.6757572980345238E-2</v>
      </c>
      <c r="E27" s="52">
        <v>-2.8734242001635307E-2</v>
      </c>
      <c r="F27" s="52">
        <v>-2.9697663802313909E-2</v>
      </c>
      <c r="G27" s="53">
        <v>-3.029081070196004E-2</v>
      </c>
      <c r="H27" s="54"/>
      <c r="I27" s="55">
        <v>-2.5967160101922751E-2</v>
      </c>
      <c r="J27" s="52">
        <v>-3.3195023967773338E-2</v>
      </c>
      <c r="K27" s="52">
        <v>-2.6266127410361082E-2</v>
      </c>
      <c r="L27" s="53">
        <v>-3.0832339776697228E-2</v>
      </c>
    </row>
    <row r="28" spans="1:12" ht="15" x14ac:dyDescent="0.25">
      <c r="A28" s="49">
        <v>17</v>
      </c>
      <c r="B28" s="50" t="s">
        <v>65</v>
      </c>
      <c r="C28" s="51">
        <v>4.3289877195880518E-2</v>
      </c>
      <c r="D28" s="56">
        <v>4.9771038198820568E-2</v>
      </c>
      <c r="E28" s="52">
        <v>3.7258573709081005E-2</v>
      </c>
      <c r="F28" s="52">
        <v>2.6769249258015729E-2</v>
      </c>
      <c r="G28" s="53">
        <v>3.3604154320738752E-2</v>
      </c>
      <c r="H28" s="54"/>
      <c r="I28" s="55">
        <v>4.0566948700549006E-2</v>
      </c>
      <c r="J28" s="52">
        <v>4.8979547288111901E-2</v>
      </c>
      <c r="K28" s="52">
        <v>3.7080109163869925E-2</v>
      </c>
      <c r="L28" s="53">
        <v>3.4615007612479654E-2</v>
      </c>
    </row>
    <row r="29" spans="1:12" ht="15" x14ac:dyDescent="0.25">
      <c r="A29" s="49">
        <v>18</v>
      </c>
      <c r="B29" s="50" t="s">
        <v>66</v>
      </c>
      <c r="C29" s="51">
        <v>-5.092813629758406E-2</v>
      </c>
      <c r="D29" s="56">
        <v>-5.5093624167006743E-2</v>
      </c>
      <c r="E29" s="52">
        <v>-4.2491248458520849E-2</v>
      </c>
      <c r="F29" s="52">
        <v>-3.7787800036847348E-2</v>
      </c>
      <c r="G29" s="53">
        <v>-4.0641941763849138E-2</v>
      </c>
      <c r="H29" s="54"/>
      <c r="I29" s="55">
        <v>-3.3122255484799017E-2</v>
      </c>
      <c r="J29" s="52">
        <v>-4.8911011129122245E-2</v>
      </c>
      <c r="K29" s="52">
        <v>-4.3456904238065724E-2</v>
      </c>
      <c r="L29" s="53">
        <v>-3.6956771619234767E-2</v>
      </c>
    </row>
    <row r="30" spans="1:12" ht="15" x14ac:dyDescent="0.25">
      <c r="A30" s="49">
        <v>19</v>
      </c>
      <c r="B30" s="50" t="s">
        <v>67</v>
      </c>
      <c r="C30" s="51">
        <v>-8.5388117838136657E-2</v>
      </c>
      <c r="D30" s="56">
        <v>-8.206638848692803E-2</v>
      </c>
      <c r="E30" s="52">
        <v>-6.5775634587289161E-2</v>
      </c>
      <c r="F30" s="52">
        <v>-5.8354714346085954E-2</v>
      </c>
      <c r="G30" s="53">
        <v>-6.2587068466103027E-2</v>
      </c>
      <c r="H30" s="54"/>
      <c r="I30" s="55">
        <v>-5.4955915971710907E-2</v>
      </c>
      <c r="J30" s="52">
        <v>-8.0165581024978935E-2</v>
      </c>
      <c r="K30" s="52">
        <v>-7.1654535872239203E-2</v>
      </c>
      <c r="L30" s="53">
        <v>-6.2810585501920951E-2</v>
      </c>
    </row>
    <row r="31" spans="1:12" ht="15" x14ac:dyDescent="0.25">
      <c r="A31" s="33"/>
      <c r="B31" s="34" t="s">
        <v>68</v>
      </c>
      <c r="C31" s="715"/>
      <c r="D31" s="701"/>
      <c r="E31" s="701"/>
      <c r="F31" s="701"/>
      <c r="G31" s="702"/>
      <c r="I31" s="700"/>
      <c r="J31" s="701"/>
      <c r="K31" s="701"/>
      <c r="L31" s="702"/>
    </row>
    <row r="32" spans="1:12" ht="15" x14ac:dyDescent="0.25">
      <c r="A32" s="49">
        <v>20</v>
      </c>
      <c r="B32" s="50" t="s">
        <v>69</v>
      </c>
      <c r="C32" s="57">
        <v>5.6273561937663592E-2</v>
      </c>
      <c r="D32" s="56">
        <v>6.812416279729494E-2</v>
      </c>
      <c r="E32" s="52">
        <v>6.3630471777496839E-2</v>
      </c>
      <c r="F32" s="52">
        <v>5.3370093762124662E-2</v>
      </c>
      <c r="G32" s="53">
        <v>7.8611929833559066E-2</v>
      </c>
      <c r="I32" s="55">
        <v>7.1593592432212444E-2</v>
      </c>
      <c r="J32" s="52">
        <v>9.7700818052230035E-2</v>
      </c>
      <c r="K32" s="52">
        <v>0.1459437829377751</v>
      </c>
      <c r="L32" s="53">
        <v>0.16505744055088239</v>
      </c>
    </row>
    <row r="33" spans="1:12" ht="15" customHeight="1" x14ac:dyDescent="0.25">
      <c r="A33" s="49">
        <v>21</v>
      </c>
      <c r="B33" s="50" t="s">
        <v>70</v>
      </c>
      <c r="C33" s="51">
        <v>4.524543007917637E-2</v>
      </c>
      <c r="D33" s="56">
        <v>4.8700707842852749E-2</v>
      </c>
      <c r="E33" s="52">
        <v>4.5844323891332479E-2</v>
      </c>
      <c r="F33" s="52">
        <v>4.7536940977588545E-2</v>
      </c>
      <c r="G33" s="53">
        <v>5.952699462856452E-2</v>
      </c>
      <c r="I33" s="55">
        <v>4.2022503882801265E-2</v>
      </c>
      <c r="J33" s="52">
        <v>5.0902620948851923E-2</v>
      </c>
      <c r="K33" s="52">
        <v>6.4883518819109212E-2</v>
      </c>
      <c r="L33" s="53">
        <v>6.9545281550102159E-2</v>
      </c>
    </row>
    <row r="34" spans="1:12" ht="15" x14ac:dyDescent="0.25">
      <c r="A34" s="49">
        <v>22</v>
      </c>
      <c r="B34" s="50" t="s">
        <v>71</v>
      </c>
      <c r="C34" s="57">
        <v>0.39556562021042679</v>
      </c>
      <c r="D34" s="56">
        <v>0.39067944788619285</v>
      </c>
      <c r="E34" s="52">
        <v>0.32727225428488882</v>
      </c>
      <c r="F34" s="52">
        <v>0.32727225428488882</v>
      </c>
      <c r="G34" s="53">
        <v>0.19379678676395287</v>
      </c>
      <c r="I34" s="55">
        <v>0.37000812830572832</v>
      </c>
      <c r="J34" s="52">
        <v>0.33008692441883963</v>
      </c>
      <c r="K34" s="52">
        <v>0.19592437409026345</v>
      </c>
      <c r="L34" s="53">
        <v>0.22430830972248131</v>
      </c>
    </row>
    <row r="35" spans="1:12" ht="15" customHeight="1" x14ac:dyDescent="0.25">
      <c r="A35" s="49">
        <v>23</v>
      </c>
      <c r="B35" s="50" t="s">
        <v>72</v>
      </c>
      <c r="C35" s="57">
        <v>9.7451449403516091E-2</v>
      </c>
      <c r="D35" s="56">
        <v>0.17916446177110151</v>
      </c>
      <c r="E35" s="52">
        <v>0.12851902809982563</v>
      </c>
      <c r="F35" s="52">
        <v>0.16573260519847824</v>
      </c>
      <c r="G35" s="53">
        <v>7.1729554193368503E-2</v>
      </c>
      <c r="I35" s="55">
        <v>0.14465277297749282</v>
      </c>
      <c r="J35" s="52">
        <v>0.1977002062449103</v>
      </c>
      <c r="K35" s="52">
        <v>7.5296942059711172E-2</v>
      </c>
      <c r="L35" s="53">
        <v>0.21782155335133591</v>
      </c>
    </row>
    <row r="36" spans="1:12" ht="15" x14ac:dyDescent="0.25">
      <c r="A36" s="49">
        <v>24</v>
      </c>
      <c r="B36" s="50" t="s">
        <v>73</v>
      </c>
      <c r="C36" s="641">
        <v>0.12520805739140259</v>
      </c>
      <c r="D36" s="56">
        <v>-6.3847306915676527E-2</v>
      </c>
      <c r="E36" s="52">
        <v>0.21692228790811771</v>
      </c>
      <c r="F36" s="52">
        <v>0.45671911530227416</v>
      </c>
      <c r="G36" s="53">
        <v>1.3663115985165947E-2</v>
      </c>
      <c r="I36" s="55">
        <v>0.21923715516628856</v>
      </c>
      <c r="J36" s="52">
        <v>0.46099129096252295</v>
      </c>
      <c r="K36" s="52">
        <v>1.3803265912725002E-2</v>
      </c>
      <c r="L36" s="58">
        <v>7.1589516154703706E-4</v>
      </c>
    </row>
    <row r="37" spans="1:12" ht="15" customHeight="1" x14ac:dyDescent="0.25">
      <c r="A37" s="33"/>
      <c r="B37" s="34" t="s">
        <v>74</v>
      </c>
      <c r="C37" s="712"/>
      <c r="D37" s="713"/>
      <c r="E37" s="713"/>
      <c r="F37" s="713"/>
      <c r="G37" s="714"/>
      <c r="I37" s="700"/>
      <c r="J37" s="701"/>
      <c r="K37" s="701"/>
      <c r="L37" s="702"/>
    </row>
    <row r="38" spans="1:12" ht="15" customHeight="1" x14ac:dyDescent="0.25">
      <c r="A38" s="49">
        <v>25</v>
      </c>
      <c r="B38" s="50" t="s">
        <v>75</v>
      </c>
      <c r="C38" s="57">
        <v>0.34716100710979098</v>
      </c>
      <c r="D38" s="51">
        <v>0.43477256414539994</v>
      </c>
      <c r="E38" s="57">
        <v>0.31885440522479719</v>
      </c>
      <c r="F38" s="57">
        <v>0.30389736031573039</v>
      </c>
      <c r="G38" s="59">
        <v>0.29350158542437188</v>
      </c>
      <c r="I38" s="60">
        <v>0.35278899881582926</v>
      </c>
      <c r="J38" s="57">
        <v>0.32247973720512596</v>
      </c>
      <c r="K38" s="57">
        <v>0.44772812081063196</v>
      </c>
      <c r="L38" s="59">
        <v>0.35465761211009106</v>
      </c>
    </row>
    <row r="39" spans="1:12" ht="15" customHeight="1" x14ac:dyDescent="0.25">
      <c r="A39" s="49">
        <v>26</v>
      </c>
      <c r="B39" s="50" t="s">
        <v>76</v>
      </c>
      <c r="C39" s="57">
        <v>0.16939085636526741</v>
      </c>
      <c r="D39" s="51">
        <v>0.35805597760042157</v>
      </c>
      <c r="E39" s="57">
        <v>0.23993483258730672</v>
      </c>
      <c r="F39" s="57">
        <v>0.24984852116194686</v>
      </c>
      <c r="G39" s="59">
        <v>0.12176629689799584</v>
      </c>
      <c r="I39" s="60">
        <v>0.2688375631872657</v>
      </c>
      <c r="J39" s="57">
        <v>0.2686654432456681</v>
      </c>
      <c r="K39" s="57">
        <v>0.16477854600384689</v>
      </c>
      <c r="L39" s="59">
        <v>0.13308155848890119</v>
      </c>
    </row>
    <row r="40" spans="1:12" ht="15" customHeight="1" x14ac:dyDescent="0.25">
      <c r="A40" s="49">
        <v>27</v>
      </c>
      <c r="B40" s="61" t="s">
        <v>77</v>
      </c>
      <c r="C40" s="51">
        <v>9.4277042563089886E-2</v>
      </c>
      <c r="D40" s="51">
        <v>0.12064636343155606</v>
      </c>
      <c r="E40" s="57">
        <v>0.12827975782739554</v>
      </c>
      <c r="F40" s="57">
        <v>0.11984303846411777</v>
      </c>
      <c r="G40" s="59">
        <v>6.7468530308370994E-2</v>
      </c>
      <c r="I40" s="60">
        <v>0.14195045816821317</v>
      </c>
      <c r="J40" s="57">
        <v>0.12465381841449046</v>
      </c>
      <c r="K40" s="57">
        <v>8.4388384081508658E-2</v>
      </c>
      <c r="L40" s="59">
        <v>0.1256366601234441</v>
      </c>
    </row>
    <row r="41" spans="1:12" ht="15" customHeight="1" x14ac:dyDescent="0.25">
      <c r="A41" s="62"/>
      <c r="B41" s="34" t="s">
        <v>78</v>
      </c>
      <c r="C41" s="715"/>
      <c r="D41" s="701"/>
      <c r="E41" s="701"/>
      <c r="F41" s="701"/>
      <c r="G41" s="702"/>
      <c r="I41" s="700"/>
      <c r="J41" s="701"/>
      <c r="K41" s="701"/>
      <c r="L41" s="702"/>
    </row>
    <row r="42" spans="1:12" ht="15" customHeight="1" x14ac:dyDescent="0.25">
      <c r="A42" s="49">
        <v>28</v>
      </c>
      <c r="B42" s="63" t="s">
        <v>79</v>
      </c>
      <c r="C42" s="38">
        <v>44459514.869999997</v>
      </c>
      <c r="D42" s="38">
        <v>36068071.213978499</v>
      </c>
      <c r="E42" s="64">
        <v>28839575.869999997</v>
      </c>
      <c r="F42" s="64">
        <v>39070286.440000005</v>
      </c>
      <c r="G42" s="65">
        <v>37577645.133626401</v>
      </c>
      <c r="I42" s="66">
        <v>28839575.869999997</v>
      </c>
      <c r="J42" s="61">
        <v>39070286.440000005</v>
      </c>
      <c r="K42" s="61">
        <v>37577645.133626401</v>
      </c>
      <c r="L42" s="67">
        <v>33641079.189999998</v>
      </c>
    </row>
    <row r="43" spans="1:12" ht="15" x14ac:dyDescent="0.25">
      <c r="A43" s="49">
        <v>29</v>
      </c>
      <c r="B43" s="50" t="s">
        <v>80</v>
      </c>
      <c r="C43" s="38">
        <v>14725616.939399999</v>
      </c>
      <c r="D43" s="38">
        <v>12130233.89205</v>
      </c>
      <c r="E43" s="68">
        <v>9804896.4565543793</v>
      </c>
      <c r="F43" s="68">
        <v>12941555.097129401</v>
      </c>
      <c r="G43" s="69">
        <v>12843456.669500001</v>
      </c>
      <c r="I43" s="70">
        <v>12047888.378249999</v>
      </c>
      <c r="J43" s="71">
        <v>13254812.613400001</v>
      </c>
      <c r="K43" s="71">
        <v>12869564.5162</v>
      </c>
      <c r="L43" s="72">
        <v>11877040.71415</v>
      </c>
    </row>
    <row r="44" spans="1:12" ht="15" x14ac:dyDescent="0.25">
      <c r="A44" s="73">
        <v>30</v>
      </c>
      <c r="B44" s="74" t="s">
        <v>81</v>
      </c>
      <c r="C44" s="75">
        <v>3.0191953962243647</v>
      </c>
      <c r="D44" s="75">
        <v>2.9734027830755227</v>
      </c>
      <c r="E44" s="76">
        <v>2.9413442556776119</v>
      </c>
      <c r="F44" s="76">
        <v>3.0189792607432691</v>
      </c>
      <c r="G44" s="76">
        <v>2.9258202134059372</v>
      </c>
      <c r="I44" s="60">
        <v>2.3937452742394227</v>
      </c>
      <c r="J44" s="57">
        <v>2.9476302366207543</v>
      </c>
      <c r="K44" s="57">
        <v>2.9198847471741773</v>
      </c>
      <c r="L44" s="59">
        <v>2.8324462296336899</v>
      </c>
    </row>
    <row r="45" spans="1:12" ht="15" x14ac:dyDescent="0.25">
      <c r="A45" s="73"/>
      <c r="B45" s="34" t="s">
        <v>30</v>
      </c>
      <c r="C45" s="715"/>
      <c r="D45" s="701"/>
      <c r="E45" s="701"/>
      <c r="F45" s="701"/>
      <c r="G45" s="702"/>
      <c r="I45" s="700"/>
      <c r="J45" s="701"/>
      <c r="K45" s="701"/>
      <c r="L45" s="702"/>
    </row>
    <row r="46" spans="1:12" ht="15" x14ac:dyDescent="0.25">
      <c r="A46" s="73">
        <v>31</v>
      </c>
      <c r="B46" s="74" t="s">
        <v>82</v>
      </c>
      <c r="C46" s="38">
        <v>99197616.174378678</v>
      </c>
      <c r="D46" s="77">
        <v>63614640.219067007</v>
      </c>
      <c r="E46" s="77">
        <v>65163981.272780247</v>
      </c>
      <c r="F46" s="77">
        <v>63066144.908153526</v>
      </c>
      <c r="G46" s="78">
        <v>60738930.090649277</v>
      </c>
      <c r="I46" s="79">
        <v>61318055.754500002</v>
      </c>
      <c r="J46" s="80">
        <v>57487096.908499993</v>
      </c>
      <c r="K46" s="80">
        <v>56004417.652500004</v>
      </c>
      <c r="L46" s="81">
        <v>60000891.506999999</v>
      </c>
    </row>
    <row r="47" spans="1:12" ht="15" x14ac:dyDescent="0.25">
      <c r="A47" s="73">
        <v>32</v>
      </c>
      <c r="B47" s="74" t="s">
        <v>83</v>
      </c>
      <c r="C47" s="38">
        <v>43498444.916133597</v>
      </c>
      <c r="D47" s="77">
        <v>37545109.733712941</v>
      </c>
      <c r="E47" s="77">
        <v>39796533.186461464</v>
      </c>
      <c r="F47" s="77">
        <v>41083635.106911853</v>
      </c>
      <c r="G47" s="78">
        <v>34610925.920043275</v>
      </c>
      <c r="I47" s="79">
        <v>36598605.940775007</v>
      </c>
      <c r="J47" s="80">
        <v>39372851.676900022</v>
      </c>
      <c r="K47" s="80">
        <v>31849325.489900008</v>
      </c>
      <c r="L47" s="81">
        <v>31615845.140500002</v>
      </c>
    </row>
    <row r="48" spans="1:12" thickBot="1" x14ac:dyDescent="0.3">
      <c r="A48" s="82">
        <v>33</v>
      </c>
      <c r="B48" s="83" t="s">
        <v>84</v>
      </c>
      <c r="C48" s="678">
        <v>2.2804864947617065</v>
      </c>
      <c r="D48" s="84">
        <v>1.6943522251033778</v>
      </c>
      <c r="E48" s="85">
        <v>1.6374285912660511</v>
      </c>
      <c r="F48" s="85">
        <v>1.5350673022004171</v>
      </c>
      <c r="G48" s="86">
        <v>1.7549062463964655</v>
      </c>
      <c r="I48" s="87">
        <v>1.6754205297799258</v>
      </c>
      <c r="J48" s="88">
        <v>1.4600694249999566</v>
      </c>
      <c r="K48" s="88">
        <v>1.7584176993092053</v>
      </c>
      <c r="L48" s="89">
        <v>1.8978107730588123</v>
      </c>
    </row>
    <row r="49" spans="1:3" x14ac:dyDescent="0.3">
      <c r="A49" s="90"/>
      <c r="C49" s="91"/>
    </row>
    <row r="50" spans="1:3" ht="52.5" x14ac:dyDescent="0.3">
      <c r="B50" s="93" t="s">
        <v>85</v>
      </c>
    </row>
    <row r="51" spans="1:3" ht="90.75" x14ac:dyDescent="0.3">
      <c r="B51" s="94" t="s">
        <v>86</v>
      </c>
    </row>
  </sheetData>
  <mergeCells count="18">
    <mergeCell ref="D4:G4"/>
    <mergeCell ref="C6:G7"/>
    <mergeCell ref="C14:G14"/>
    <mergeCell ref="C37:G37"/>
    <mergeCell ref="C41:G41"/>
    <mergeCell ref="C45:G45"/>
    <mergeCell ref="C16:G17"/>
    <mergeCell ref="C24:G24"/>
    <mergeCell ref="C31:G31"/>
    <mergeCell ref="I14:L14"/>
    <mergeCell ref="I6:L7"/>
    <mergeCell ref="I4:L4"/>
    <mergeCell ref="I45:L45"/>
    <mergeCell ref="I41:L41"/>
    <mergeCell ref="I37:L37"/>
    <mergeCell ref="I31:L31"/>
    <mergeCell ref="I24:L24"/>
    <mergeCell ref="I16:L1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E7CD2-6E3F-459F-B07E-E5EC949A5E71}">
  <dimension ref="A1:K37"/>
  <sheetViews>
    <sheetView showGridLines="0" zoomScale="115" zoomScaleNormal="115" workbookViewId="0">
      <selection activeCell="H24" sqref="H24"/>
    </sheetView>
  </sheetViews>
  <sheetFormatPr defaultColWidth="9.140625" defaultRowHeight="12.75" x14ac:dyDescent="0.25"/>
  <cols>
    <col min="1" max="1" width="11.85546875" style="521" bestFit="1" customWidth="1"/>
    <col min="2" max="2" width="92.28515625" style="521" customWidth="1"/>
    <col min="3" max="3" width="14.42578125" style="521" customWidth="1"/>
    <col min="4" max="4" width="15.28515625" style="521" customWidth="1"/>
    <col min="5" max="5" width="17.42578125" style="521" bestFit="1" customWidth="1"/>
    <col min="6" max="6" width="15.85546875" style="521" customWidth="1"/>
    <col min="7" max="7" width="16.140625" style="521" customWidth="1"/>
    <col min="8" max="8" width="15" style="521" customWidth="1"/>
    <col min="9" max="9" width="12.28515625" style="521" bestFit="1" customWidth="1"/>
    <col min="10" max="10" width="10.140625" style="521" bestFit="1" customWidth="1"/>
    <col min="11" max="16384" width="9.140625" style="521"/>
  </cols>
  <sheetData>
    <row r="1" spans="1:11" ht="13.5" x14ac:dyDescent="0.25">
      <c r="A1" s="520" t="s">
        <v>41</v>
      </c>
      <c r="B1" s="21" t="str">
        <f>Info!C2</f>
        <v>სს სილქ ბანკი</v>
      </c>
    </row>
    <row r="2" spans="1:11" x14ac:dyDescent="0.25">
      <c r="A2" s="520" t="s">
        <v>42</v>
      </c>
      <c r="B2" s="522">
        <f>'1. key ratios'!B2</f>
        <v>45107</v>
      </c>
    </row>
    <row r="3" spans="1:11" x14ac:dyDescent="0.25">
      <c r="A3" s="523" t="s">
        <v>565</v>
      </c>
    </row>
    <row r="5" spans="1:11" x14ac:dyDescent="0.25">
      <c r="A5" s="774" t="s">
        <v>566</v>
      </c>
      <c r="B5" s="775"/>
      <c r="C5" s="780" t="s">
        <v>567</v>
      </c>
      <c r="D5" s="781"/>
      <c r="E5" s="781"/>
      <c r="F5" s="781"/>
      <c r="G5" s="781"/>
      <c r="H5" s="782"/>
    </row>
    <row r="6" spans="1:11" x14ac:dyDescent="0.25">
      <c r="A6" s="776"/>
      <c r="B6" s="777"/>
      <c r="C6" s="783"/>
      <c r="D6" s="784"/>
      <c r="E6" s="784"/>
      <c r="F6" s="784"/>
      <c r="G6" s="784"/>
      <c r="H6" s="785"/>
    </row>
    <row r="7" spans="1:11" ht="38.25" x14ac:dyDescent="0.25">
      <c r="A7" s="778"/>
      <c r="B7" s="779"/>
      <c r="C7" s="524" t="s">
        <v>568</v>
      </c>
      <c r="D7" s="524" t="s">
        <v>569</v>
      </c>
      <c r="E7" s="524" t="s">
        <v>570</v>
      </c>
      <c r="F7" s="524" t="s">
        <v>571</v>
      </c>
      <c r="G7" s="524" t="s">
        <v>572</v>
      </c>
      <c r="H7" s="524" t="s">
        <v>92</v>
      </c>
    </row>
    <row r="8" spans="1:11" x14ac:dyDescent="0.25">
      <c r="A8" s="525">
        <v>1</v>
      </c>
      <c r="B8" s="526" t="s">
        <v>408</v>
      </c>
      <c r="C8" s="527">
        <v>4653513.4899999695</v>
      </c>
      <c r="D8" s="528">
        <v>2438085.5952644562</v>
      </c>
      <c r="E8" s="527">
        <v>23103213.441727906</v>
      </c>
      <c r="F8" s="527">
        <v>1412509.8016416735</v>
      </c>
      <c r="G8" s="528"/>
      <c r="H8" s="528">
        <f t="shared" ref="H8:H21" si="0">SUM(C8:G8)</f>
        <v>31607322.328634005</v>
      </c>
      <c r="I8" s="529"/>
    </row>
    <row r="9" spans="1:11" x14ac:dyDescent="0.25">
      <c r="A9" s="525">
        <v>2</v>
      </c>
      <c r="B9" s="526" t="s">
        <v>409</v>
      </c>
      <c r="C9" s="528"/>
      <c r="D9" s="528"/>
      <c r="E9" s="528"/>
      <c r="F9" s="528"/>
      <c r="G9" s="528"/>
      <c r="H9" s="528">
        <f t="shared" si="0"/>
        <v>0</v>
      </c>
      <c r="I9" s="529"/>
    </row>
    <row r="10" spans="1:11" x14ac:dyDescent="0.25">
      <c r="A10" s="525">
        <v>3</v>
      </c>
      <c r="B10" s="526" t="s">
        <v>410</v>
      </c>
      <c r="C10" s="528"/>
      <c r="D10" s="528"/>
      <c r="E10" s="528"/>
      <c r="F10" s="528"/>
      <c r="G10" s="528"/>
      <c r="H10" s="528">
        <f t="shared" si="0"/>
        <v>0</v>
      </c>
      <c r="I10" s="529"/>
    </row>
    <row r="11" spans="1:11" x14ac:dyDescent="0.25">
      <c r="A11" s="525">
        <v>4</v>
      </c>
      <c r="B11" s="526" t="s">
        <v>411</v>
      </c>
      <c r="C11" s="528"/>
      <c r="D11" s="528"/>
      <c r="E11" s="528"/>
      <c r="F11" s="528"/>
      <c r="G11" s="528"/>
      <c r="H11" s="528">
        <f t="shared" si="0"/>
        <v>0</v>
      </c>
      <c r="I11" s="529"/>
      <c r="J11" s="529"/>
    </row>
    <row r="12" spans="1:11" x14ac:dyDescent="0.25">
      <c r="A12" s="525">
        <v>5</v>
      </c>
      <c r="B12" s="526" t="s">
        <v>412</v>
      </c>
      <c r="C12" s="528"/>
      <c r="D12" s="528"/>
      <c r="E12" s="528"/>
      <c r="F12" s="528"/>
      <c r="G12" s="528"/>
      <c r="H12" s="528">
        <f t="shared" si="0"/>
        <v>0</v>
      </c>
      <c r="I12" s="529"/>
    </row>
    <row r="13" spans="1:11" x14ac:dyDescent="0.25">
      <c r="A13" s="525">
        <v>6</v>
      </c>
      <c r="B13" s="526" t="s">
        <v>413</v>
      </c>
      <c r="C13" s="528">
        <v>1983083.1599999964</v>
      </c>
      <c r="D13" s="527">
        <v>59000000</v>
      </c>
      <c r="E13" s="528"/>
      <c r="F13" s="527">
        <v>26177</v>
      </c>
      <c r="G13" s="528"/>
      <c r="H13" s="528">
        <f t="shared" si="0"/>
        <v>61009260.159999996</v>
      </c>
      <c r="I13" s="529"/>
      <c r="J13" s="530"/>
    </row>
    <row r="14" spans="1:11" x14ac:dyDescent="0.25">
      <c r="A14" s="531">
        <v>7</v>
      </c>
      <c r="B14" s="532" t="s">
        <v>414</v>
      </c>
      <c r="C14" s="528"/>
      <c r="D14" s="527">
        <v>1718547.0880174802</v>
      </c>
      <c r="E14" s="527">
        <v>3693723.1501136827</v>
      </c>
      <c r="F14" s="527">
        <v>8231665.421547778</v>
      </c>
      <c r="G14" s="528">
        <v>0</v>
      </c>
      <c r="H14" s="527">
        <f t="shared" si="0"/>
        <v>13643935.65967894</v>
      </c>
      <c r="I14" s="529"/>
      <c r="J14" s="533"/>
      <c r="K14" s="534"/>
    </row>
    <row r="15" spans="1:11" x14ac:dyDescent="0.25">
      <c r="A15" s="531">
        <v>8</v>
      </c>
      <c r="B15" s="532" t="s">
        <v>415</v>
      </c>
      <c r="C15" s="528"/>
      <c r="D15" s="527">
        <v>385721.93100389233</v>
      </c>
      <c r="E15" s="527">
        <v>4710030.8712370219</v>
      </c>
      <c r="F15" s="527">
        <v>2404421.1971070226</v>
      </c>
      <c r="G15" s="527">
        <v>19188.770996919167</v>
      </c>
      <c r="H15" s="527">
        <f>SUM(C15:G15)</f>
        <v>7519362.7703448553</v>
      </c>
      <c r="I15" s="529"/>
    </row>
    <row r="16" spans="1:11" x14ac:dyDescent="0.25">
      <c r="A16" s="525">
        <v>9</v>
      </c>
      <c r="B16" s="526" t="s">
        <v>416</v>
      </c>
      <c r="C16" s="528"/>
      <c r="D16" s="528"/>
      <c r="E16" s="528"/>
      <c r="F16" s="528"/>
      <c r="G16" s="528"/>
      <c r="H16" s="528">
        <f t="shared" si="0"/>
        <v>0</v>
      </c>
    </row>
    <row r="17" spans="1:10" x14ac:dyDescent="0.25">
      <c r="A17" s="525">
        <v>10</v>
      </c>
      <c r="B17" s="535" t="s">
        <v>417</v>
      </c>
      <c r="C17" s="528"/>
      <c r="D17" s="528">
        <v>694360.43819270423</v>
      </c>
      <c r="E17" s="528">
        <v>11291.850155225387</v>
      </c>
      <c r="F17" s="528">
        <v>0</v>
      </c>
      <c r="G17" s="528">
        <v>468.03442046407008</v>
      </c>
      <c r="H17" s="528">
        <f t="shared" si="0"/>
        <v>706120.32276839367</v>
      </c>
      <c r="I17" s="529"/>
      <c r="J17" s="529"/>
    </row>
    <row r="18" spans="1:10" x14ac:dyDescent="0.25">
      <c r="A18" s="525">
        <v>11</v>
      </c>
      <c r="B18" s="526" t="s">
        <v>418</v>
      </c>
      <c r="C18" s="528"/>
      <c r="D18" s="528">
        <v>0</v>
      </c>
      <c r="E18" s="528">
        <v>0</v>
      </c>
      <c r="F18" s="528">
        <v>0</v>
      </c>
      <c r="G18" s="528">
        <v>0</v>
      </c>
      <c r="H18" s="528">
        <f t="shared" si="0"/>
        <v>0</v>
      </c>
      <c r="I18" s="529"/>
    </row>
    <row r="19" spans="1:10" x14ac:dyDescent="0.25">
      <c r="A19" s="525">
        <v>12</v>
      </c>
      <c r="B19" s="526" t="s">
        <v>419</v>
      </c>
      <c r="C19" s="528"/>
      <c r="D19" s="528"/>
      <c r="E19" s="528"/>
      <c r="F19" s="528"/>
      <c r="G19" s="528"/>
      <c r="H19" s="528">
        <f t="shared" si="0"/>
        <v>0</v>
      </c>
    </row>
    <row r="20" spans="1:10" x14ac:dyDescent="0.25">
      <c r="A20" s="531">
        <v>13</v>
      </c>
      <c r="B20" s="532" t="s">
        <v>420</v>
      </c>
      <c r="C20" s="528"/>
      <c r="D20" s="528"/>
      <c r="E20" s="528"/>
      <c r="F20" s="528"/>
      <c r="G20" s="528"/>
      <c r="H20" s="528">
        <f t="shared" si="0"/>
        <v>0</v>
      </c>
    </row>
    <row r="21" spans="1:10" x14ac:dyDescent="0.25">
      <c r="A21" s="525">
        <v>14</v>
      </c>
      <c r="B21" s="526" t="s">
        <v>421</v>
      </c>
      <c r="C21" s="528">
        <f>'2. SOFP'!E8</f>
        <v>2218674.4000000013</v>
      </c>
      <c r="D21" s="528">
        <v>5194228.5015073605</v>
      </c>
      <c r="E21" s="528"/>
      <c r="F21" s="528"/>
      <c r="G21" s="528">
        <v>19081043</v>
      </c>
      <c r="H21" s="528">
        <f t="shared" si="0"/>
        <v>26493945.901507363</v>
      </c>
      <c r="I21" s="529"/>
    </row>
    <row r="22" spans="1:10" x14ac:dyDescent="0.25">
      <c r="A22" s="536">
        <v>15</v>
      </c>
      <c r="B22" s="537" t="s">
        <v>92</v>
      </c>
      <c r="C22" s="528">
        <f t="shared" ref="C22:H22" si="1">SUM(C18:C21)+SUM(C8:C16)</f>
        <v>8855271.0499999672</v>
      </c>
      <c r="D22" s="528">
        <f t="shared" si="1"/>
        <v>68736583.115793183</v>
      </c>
      <c r="E22" s="528">
        <f t="shared" si="1"/>
        <v>31506967.463078611</v>
      </c>
      <c r="F22" s="528">
        <f t="shared" si="1"/>
        <v>12074773.420296473</v>
      </c>
      <c r="G22" s="528">
        <f t="shared" si="1"/>
        <v>19100231.770996921</v>
      </c>
      <c r="H22" s="528">
        <f t="shared" si="1"/>
        <v>140273826.82016516</v>
      </c>
    </row>
    <row r="23" spans="1:10" x14ac:dyDescent="0.25">
      <c r="H23" s="653"/>
    </row>
    <row r="26" spans="1:10" x14ac:dyDescent="0.25">
      <c r="B26" s="538"/>
    </row>
    <row r="35" spans="4:7" x14ac:dyDescent="0.25">
      <c r="D35" s="654"/>
      <c r="E35" s="654"/>
      <c r="F35" s="654"/>
      <c r="G35" s="654"/>
    </row>
    <row r="36" spans="4:7" x14ac:dyDescent="0.25">
      <c r="D36" s="655"/>
      <c r="E36" s="654"/>
      <c r="G36" s="654"/>
    </row>
    <row r="37" spans="4:7" x14ac:dyDescent="0.25">
      <c r="D37" s="654"/>
      <c r="E37" s="654"/>
      <c r="F37" s="654"/>
      <c r="G37" s="654"/>
    </row>
  </sheetData>
  <mergeCells count="2">
    <mergeCell ref="A5:B7"/>
    <mergeCell ref="C5:H6"/>
  </mergeCells>
  <conditionalFormatting sqref="A5">
    <cfRule type="duplicateValues" dxfId="18" priority="1"/>
    <cfRule type="duplicateValues" dxfId="17" priority="2"/>
    <cfRule type="duplicateValues" dxfId="16"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6EA25-BE02-41A5-90D8-1932AB2F02BF}">
  <dimension ref="A1:K36"/>
  <sheetViews>
    <sheetView showGridLines="0" zoomScaleNormal="100" workbookViewId="0">
      <selection activeCell="H21" sqref="H21"/>
    </sheetView>
  </sheetViews>
  <sheetFormatPr defaultColWidth="9.140625" defaultRowHeight="12.75" x14ac:dyDescent="0.25"/>
  <cols>
    <col min="1" max="1" width="11.85546875" style="558" bestFit="1" customWidth="1"/>
    <col min="2" max="2" width="86.85546875" style="521" customWidth="1"/>
    <col min="3" max="3" width="22.5703125" style="521" customWidth="1"/>
    <col min="4" max="4" width="24.85546875" style="521" customWidth="1"/>
    <col min="5" max="5" width="18.140625" style="521" customWidth="1"/>
    <col min="6" max="6" width="17.5703125" style="521" customWidth="1"/>
    <col min="7" max="7" width="17.28515625" style="521" customWidth="1"/>
    <col min="8" max="8" width="18.85546875" style="521" customWidth="1"/>
    <col min="9" max="9" width="13.5703125" style="521" customWidth="1"/>
    <col min="10" max="16384" width="9.140625" style="521"/>
  </cols>
  <sheetData>
    <row r="1" spans="1:11" ht="13.5" x14ac:dyDescent="0.25">
      <c r="A1" s="520" t="s">
        <v>41</v>
      </c>
      <c r="B1" s="21" t="str">
        <f>Info!C2</f>
        <v>სს სილქ ბანკი</v>
      </c>
      <c r="C1" s="539"/>
      <c r="D1" s="539"/>
      <c r="E1" s="539"/>
      <c r="F1" s="539"/>
      <c r="G1" s="539"/>
      <c r="H1" s="539"/>
    </row>
    <row r="2" spans="1:11" x14ac:dyDescent="0.25">
      <c r="A2" s="520" t="s">
        <v>42</v>
      </c>
      <c r="B2" s="522">
        <f>'1. key ratios'!B2</f>
        <v>45107</v>
      </c>
      <c r="C2" s="539"/>
      <c r="D2" s="539"/>
      <c r="E2" s="539"/>
      <c r="F2" s="539"/>
      <c r="G2" s="539"/>
      <c r="H2" s="539"/>
    </row>
    <row r="3" spans="1:11" x14ac:dyDescent="0.25">
      <c r="A3" s="523" t="s">
        <v>574</v>
      </c>
      <c r="B3" s="539"/>
      <c r="C3" s="539"/>
      <c r="D3" s="539"/>
      <c r="E3" s="539"/>
      <c r="F3" s="539"/>
      <c r="G3" s="539"/>
      <c r="H3" s="539"/>
    </row>
    <row r="4" spans="1:11" x14ac:dyDescent="0.25">
      <c r="A4" s="540"/>
      <c r="B4" s="539"/>
      <c r="C4" s="541" t="s">
        <v>575</v>
      </c>
      <c r="D4" s="541" t="s">
        <v>576</v>
      </c>
      <c r="E4" s="541" t="s">
        <v>577</v>
      </c>
      <c r="F4" s="541" t="s">
        <v>578</v>
      </c>
      <c r="G4" s="541" t="s">
        <v>579</v>
      </c>
      <c r="H4" s="541" t="s">
        <v>580</v>
      </c>
    </row>
    <row r="5" spans="1:11" ht="33.950000000000003" customHeight="1" x14ac:dyDescent="0.25">
      <c r="A5" s="774" t="s">
        <v>581</v>
      </c>
      <c r="B5" s="775"/>
      <c r="C5" s="786" t="s">
        <v>582</v>
      </c>
      <c r="D5" s="786"/>
      <c r="E5" s="786" t="s">
        <v>583</v>
      </c>
      <c r="F5" s="787" t="s">
        <v>584</v>
      </c>
      <c r="G5" s="787" t="s">
        <v>585</v>
      </c>
      <c r="H5" s="542" t="s">
        <v>586</v>
      </c>
    </row>
    <row r="6" spans="1:11" ht="38.25" x14ac:dyDescent="0.25">
      <c r="A6" s="778"/>
      <c r="B6" s="779"/>
      <c r="C6" s="543" t="s">
        <v>587</v>
      </c>
      <c r="D6" s="543" t="s">
        <v>588</v>
      </c>
      <c r="E6" s="786"/>
      <c r="F6" s="788"/>
      <c r="G6" s="788"/>
      <c r="H6" s="542" t="s">
        <v>589</v>
      </c>
    </row>
    <row r="7" spans="1:11" x14ac:dyDescent="0.25">
      <c r="A7" s="545">
        <v>1</v>
      </c>
      <c r="B7" s="526" t="s">
        <v>408</v>
      </c>
      <c r="C7" s="546"/>
      <c r="D7" s="547">
        <v>31685703.299999971</v>
      </c>
      <c r="E7" s="547">
        <v>78380.971365965757</v>
      </c>
      <c r="F7" s="546"/>
      <c r="G7" s="546"/>
      <c r="H7" s="664">
        <f t="shared" ref="H7:H20" si="0">C7+D7-E7-F7</f>
        <v>31607322.328634005</v>
      </c>
      <c r="I7" s="656"/>
      <c r="J7" s="534"/>
    </row>
    <row r="8" spans="1:11" ht="24" x14ac:dyDescent="0.25">
      <c r="A8" s="545">
        <v>2</v>
      </c>
      <c r="B8" s="526" t="s">
        <v>409</v>
      </c>
      <c r="C8" s="546"/>
      <c r="D8" s="546">
        <v>0</v>
      </c>
      <c r="E8" s="546"/>
      <c r="F8" s="546"/>
      <c r="G8" s="546"/>
      <c r="H8" s="664">
        <f t="shared" si="0"/>
        <v>0</v>
      </c>
      <c r="I8" s="656"/>
    </row>
    <row r="9" spans="1:11" x14ac:dyDescent="0.25">
      <c r="A9" s="545">
        <v>3</v>
      </c>
      <c r="B9" s="526" t="s">
        <v>410</v>
      </c>
      <c r="C9" s="546"/>
      <c r="D9" s="546">
        <v>0</v>
      </c>
      <c r="E9" s="546"/>
      <c r="F9" s="546"/>
      <c r="G9" s="546"/>
      <c r="H9" s="664">
        <f t="shared" si="0"/>
        <v>0</v>
      </c>
      <c r="I9" s="656"/>
    </row>
    <row r="10" spans="1:11" x14ac:dyDescent="0.25">
      <c r="A10" s="545">
        <v>4</v>
      </c>
      <c r="B10" s="526" t="s">
        <v>411</v>
      </c>
      <c r="C10" s="546"/>
      <c r="D10" s="546">
        <v>0</v>
      </c>
      <c r="E10" s="546"/>
      <c r="F10" s="546"/>
      <c r="G10" s="546"/>
      <c r="H10" s="664">
        <f t="shared" si="0"/>
        <v>0</v>
      </c>
      <c r="I10" s="656"/>
    </row>
    <row r="11" spans="1:11" x14ac:dyDescent="0.25">
      <c r="A11" s="545">
        <v>5</v>
      </c>
      <c r="B11" s="526" t="s">
        <v>412</v>
      </c>
      <c r="C11" s="546"/>
      <c r="D11" s="546">
        <v>0</v>
      </c>
      <c r="E11" s="546"/>
      <c r="F11" s="546"/>
      <c r="G11" s="546"/>
      <c r="H11" s="664">
        <f t="shared" si="0"/>
        <v>0</v>
      </c>
      <c r="I11" s="656"/>
    </row>
    <row r="12" spans="1:11" x14ac:dyDescent="0.25">
      <c r="A12" s="545">
        <v>6</v>
      </c>
      <c r="B12" s="526" t="s">
        <v>413</v>
      </c>
      <c r="C12" s="549"/>
      <c r="D12" s="549">
        <v>61009260.159999996</v>
      </c>
      <c r="E12" s="549"/>
      <c r="F12" s="546"/>
      <c r="G12" s="546"/>
      <c r="H12" s="664">
        <f t="shared" si="0"/>
        <v>61009260.159999996</v>
      </c>
      <c r="I12" s="656"/>
    </row>
    <row r="13" spans="1:11" x14ac:dyDescent="0.25">
      <c r="A13" s="545">
        <v>7</v>
      </c>
      <c r="B13" s="526" t="s">
        <v>414</v>
      </c>
      <c r="C13" s="549">
        <v>1058532.6599999997</v>
      </c>
      <c r="D13" s="549">
        <v>13204093.169999998</v>
      </c>
      <c r="E13" s="549">
        <v>618690.1703210579</v>
      </c>
      <c r="F13" s="546"/>
      <c r="G13" s="546"/>
      <c r="H13" s="664">
        <f t="shared" si="0"/>
        <v>13643935.65967894</v>
      </c>
      <c r="I13" s="656"/>
      <c r="K13" s="656"/>
    </row>
    <row r="14" spans="1:11" x14ac:dyDescent="0.25">
      <c r="A14" s="545">
        <v>8</v>
      </c>
      <c r="B14" s="532" t="s">
        <v>415</v>
      </c>
      <c r="C14" s="549">
        <v>188838.93999999994</v>
      </c>
      <c r="D14" s="549">
        <v>7714745.383566644</v>
      </c>
      <c r="E14" s="549">
        <v>384221.55322179059</v>
      </c>
      <c r="F14" s="546"/>
      <c r="G14" s="546">
        <v>3054.8599999999997</v>
      </c>
      <c r="H14" s="664">
        <f t="shared" si="0"/>
        <v>7519362.7703448534</v>
      </c>
      <c r="I14" s="656"/>
    </row>
    <row r="15" spans="1:11" x14ac:dyDescent="0.25">
      <c r="A15" s="545">
        <v>9</v>
      </c>
      <c r="B15" s="526" t="s">
        <v>416</v>
      </c>
      <c r="C15" s="549"/>
      <c r="D15" s="549">
        <v>0</v>
      </c>
      <c r="E15" s="549"/>
      <c r="F15" s="546"/>
      <c r="G15" s="546"/>
      <c r="H15" s="664">
        <f t="shared" si="0"/>
        <v>0</v>
      </c>
      <c r="I15" s="563"/>
    </row>
    <row r="16" spans="1:11" x14ac:dyDescent="0.25">
      <c r="A16" s="545">
        <v>10</v>
      </c>
      <c r="B16" s="535" t="s">
        <v>417</v>
      </c>
      <c r="C16" s="549">
        <v>1090362.4599999997</v>
      </c>
      <c r="D16" s="549">
        <v>0</v>
      </c>
      <c r="E16" s="549">
        <v>384242.13723160618</v>
      </c>
      <c r="F16" s="546"/>
      <c r="G16" s="546"/>
      <c r="H16" s="664">
        <f t="shared" si="0"/>
        <v>706120.32276839355</v>
      </c>
      <c r="I16" s="656"/>
    </row>
    <row r="17" spans="1:9" x14ac:dyDescent="0.25">
      <c r="A17" s="545">
        <v>11</v>
      </c>
      <c r="B17" s="526" t="s">
        <v>418</v>
      </c>
      <c r="C17" s="549">
        <v>0</v>
      </c>
      <c r="D17" s="549">
        <v>0</v>
      </c>
      <c r="E17" s="549">
        <v>0</v>
      </c>
      <c r="F17" s="546"/>
      <c r="G17" s="546"/>
      <c r="H17" s="664">
        <f t="shared" si="0"/>
        <v>0</v>
      </c>
      <c r="I17" s="656"/>
    </row>
    <row r="18" spans="1:9" x14ac:dyDescent="0.25">
      <c r="A18" s="545">
        <v>12</v>
      </c>
      <c r="B18" s="526" t="s">
        <v>419</v>
      </c>
      <c r="C18" s="549"/>
      <c r="D18" s="549">
        <v>0</v>
      </c>
      <c r="E18" s="549"/>
      <c r="F18" s="546"/>
      <c r="G18" s="546"/>
      <c r="H18" s="664">
        <f t="shared" si="0"/>
        <v>0</v>
      </c>
      <c r="I18" s="656"/>
    </row>
    <row r="19" spans="1:9" x14ac:dyDescent="0.25">
      <c r="A19" s="550">
        <v>13</v>
      </c>
      <c r="B19" s="532" t="s">
        <v>420</v>
      </c>
      <c r="C19" s="549"/>
      <c r="D19" s="549">
        <v>0</v>
      </c>
      <c r="E19" s="549"/>
      <c r="F19" s="546"/>
      <c r="G19" s="546"/>
      <c r="H19" s="664">
        <f t="shared" si="0"/>
        <v>0</v>
      </c>
      <c r="I19" s="656"/>
    </row>
    <row r="20" spans="1:9" x14ac:dyDescent="0.25">
      <c r="A20" s="545">
        <v>14</v>
      </c>
      <c r="B20" s="526" t="s">
        <v>421</v>
      </c>
      <c r="C20" s="549">
        <v>92689.03</v>
      </c>
      <c r="D20" s="551">
        <v>26493945.901507363</v>
      </c>
      <c r="E20" s="549">
        <v>92689.03</v>
      </c>
      <c r="F20" s="546"/>
      <c r="G20" s="546"/>
      <c r="H20" s="664">
        <f t="shared" si="0"/>
        <v>26493945.901507363</v>
      </c>
      <c r="I20" s="656"/>
    </row>
    <row r="21" spans="1:9" s="555" customFormat="1" x14ac:dyDescent="0.25">
      <c r="A21" s="552">
        <v>15</v>
      </c>
      <c r="B21" s="553" t="s">
        <v>92</v>
      </c>
      <c r="C21" s="554">
        <v>1340060.6299999997</v>
      </c>
      <c r="D21" s="554">
        <v>140107747.91507399</v>
      </c>
      <c r="E21" s="554">
        <v>1173981.7249088143</v>
      </c>
      <c r="F21" s="561">
        <v>0</v>
      </c>
      <c r="G21" s="561">
        <v>3054.8599999999997</v>
      </c>
      <c r="H21" s="664">
        <f t="shared" ref="C21:H21" si="1">SUM(H7:H15)+SUM(H17:H20)</f>
        <v>140273826.82016516</v>
      </c>
    </row>
    <row r="22" spans="1:9" x14ac:dyDescent="0.25">
      <c r="A22" s="556">
        <v>16</v>
      </c>
      <c r="B22" s="557" t="s">
        <v>590</v>
      </c>
      <c r="C22" s="549">
        <v>1247371.5999999996</v>
      </c>
      <c r="D22" s="549">
        <v>20918838.553566642</v>
      </c>
      <c r="E22" s="549">
        <v>1002911.7235428485</v>
      </c>
      <c r="F22" s="549">
        <v>0</v>
      </c>
      <c r="G22" s="551">
        <v>3054.8599999999997</v>
      </c>
      <c r="H22" s="664">
        <f>C22+D22-E22-F22</f>
        <v>21163298.430023797</v>
      </c>
    </row>
    <row r="23" spans="1:9" x14ac:dyDescent="0.25">
      <c r="A23" s="556">
        <v>17</v>
      </c>
      <c r="B23" s="557" t="s">
        <v>591</v>
      </c>
      <c r="C23" s="549"/>
      <c r="D23" s="551">
        <v>25088731.41</v>
      </c>
      <c r="E23" s="551">
        <v>78380.971365965757</v>
      </c>
      <c r="F23" s="546"/>
      <c r="G23" s="546"/>
      <c r="H23" s="664">
        <f>C23+D23-E23-F23</f>
        <v>25010350.438634034</v>
      </c>
    </row>
    <row r="24" spans="1:9" x14ac:dyDescent="0.25">
      <c r="D24" s="529"/>
      <c r="H24" s="653"/>
    </row>
    <row r="25" spans="1:9" x14ac:dyDescent="0.25">
      <c r="C25" s="657"/>
      <c r="D25" s="657"/>
      <c r="E25" s="657"/>
      <c r="F25" s="653"/>
      <c r="G25" s="653"/>
    </row>
    <row r="26" spans="1:9" ht="42.6" customHeight="1" x14ac:dyDescent="0.25">
      <c r="B26" s="538" t="s">
        <v>573</v>
      </c>
      <c r="C26" s="660"/>
      <c r="D26" s="529"/>
      <c r="E26" s="657"/>
    </row>
    <row r="27" spans="1:9" x14ac:dyDescent="0.25">
      <c r="D27" s="529"/>
    </row>
    <row r="28" spans="1:9" x14ac:dyDescent="0.25">
      <c r="C28" s="661"/>
    </row>
    <row r="29" spans="1:9" x14ac:dyDescent="0.25">
      <c r="C29" s="662"/>
      <c r="D29" s="529"/>
    </row>
    <row r="30" spans="1:9" x14ac:dyDescent="0.25">
      <c r="C30" s="663"/>
      <c r="D30" s="529"/>
    </row>
    <row r="31" spans="1:9" x14ac:dyDescent="0.25">
      <c r="C31" s="663"/>
    </row>
    <row r="32" spans="1:9" x14ac:dyDescent="0.25">
      <c r="C32" s="659"/>
    </row>
    <row r="33" spans="3:3" x14ac:dyDescent="0.25">
      <c r="C33" s="659"/>
    </row>
    <row r="34" spans="3:3" x14ac:dyDescent="0.25">
      <c r="C34" s="658"/>
    </row>
    <row r="35" spans="3:3" x14ac:dyDescent="0.25">
      <c r="C35" s="659"/>
    </row>
    <row r="36" spans="3:3" x14ac:dyDescent="0.25">
      <c r="C36" s="659"/>
    </row>
  </sheetData>
  <mergeCells count="5">
    <mergeCell ref="A5:B6"/>
    <mergeCell ref="C5:D5"/>
    <mergeCell ref="E5:E6"/>
    <mergeCell ref="F5:F6"/>
    <mergeCell ref="G5:G6"/>
  </mergeCells>
  <conditionalFormatting sqref="A5">
    <cfRule type="duplicateValues" dxfId="15" priority="1"/>
    <cfRule type="duplicateValues" dxfId="14" priority="2"/>
    <cfRule type="duplicateValues" dxfId="13"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74CF7-9775-4719-AC70-DED9109E22BF}">
  <dimension ref="A1:H40"/>
  <sheetViews>
    <sheetView showGridLines="0" topLeftCell="A2" zoomScaleNormal="100" workbookViewId="0">
      <selection activeCell="F37" sqref="F37"/>
    </sheetView>
  </sheetViews>
  <sheetFormatPr defaultColWidth="9.140625" defaultRowHeight="12.75" x14ac:dyDescent="0.25"/>
  <cols>
    <col min="1" max="1" width="11" style="521" bestFit="1" customWidth="1"/>
    <col min="2" max="2" width="93.42578125" style="521" customWidth="1"/>
    <col min="3" max="5" width="22" style="521" customWidth="1"/>
    <col min="6" max="6" width="11.85546875" style="521" customWidth="1"/>
    <col min="7" max="7" width="13.85546875" style="521" customWidth="1"/>
    <col min="8" max="8" width="21.85546875" style="521" customWidth="1"/>
    <col min="9" max="16384" width="9.140625" style="521"/>
  </cols>
  <sheetData>
    <row r="1" spans="1:8" ht="13.5" x14ac:dyDescent="0.25">
      <c r="A1" s="520" t="s">
        <v>41</v>
      </c>
      <c r="B1" s="21" t="str">
        <f>Info!C2</f>
        <v>სს სილქ ბანკი</v>
      </c>
      <c r="C1" s="539"/>
      <c r="D1" s="539"/>
      <c r="E1" s="539"/>
      <c r="F1" s="539"/>
      <c r="G1" s="539"/>
      <c r="H1" s="539"/>
    </row>
    <row r="2" spans="1:8" x14ac:dyDescent="0.25">
      <c r="A2" s="520" t="s">
        <v>42</v>
      </c>
      <c r="B2" s="522">
        <f>'1. key ratios'!B2</f>
        <v>45107</v>
      </c>
      <c r="C2" s="539"/>
      <c r="D2" s="539"/>
      <c r="E2" s="539"/>
      <c r="F2" s="539"/>
      <c r="G2" s="539"/>
      <c r="H2" s="539"/>
    </row>
    <row r="3" spans="1:8" x14ac:dyDescent="0.25">
      <c r="A3" s="523" t="s">
        <v>592</v>
      </c>
      <c r="B3" s="539"/>
      <c r="C3" s="539"/>
      <c r="D3" s="539"/>
      <c r="E3" s="539"/>
      <c r="F3" s="539"/>
      <c r="G3" s="539"/>
      <c r="H3" s="539"/>
    </row>
    <row r="4" spans="1:8" x14ac:dyDescent="0.25">
      <c r="A4" s="539"/>
      <c r="B4" s="539"/>
      <c r="C4" s="541" t="s">
        <v>575</v>
      </c>
      <c r="D4" s="541" t="s">
        <v>576</v>
      </c>
      <c r="E4" s="541" t="s">
        <v>577</v>
      </c>
      <c r="F4" s="541" t="s">
        <v>578</v>
      </c>
      <c r="G4" s="541" t="s">
        <v>579</v>
      </c>
      <c r="H4" s="541" t="s">
        <v>580</v>
      </c>
    </row>
    <row r="5" spans="1:8" ht="41.45" customHeight="1" x14ac:dyDescent="0.25">
      <c r="A5" s="774" t="s">
        <v>593</v>
      </c>
      <c r="B5" s="775"/>
      <c r="C5" s="789" t="s">
        <v>582</v>
      </c>
      <c r="D5" s="790"/>
      <c r="E5" s="787" t="s">
        <v>594</v>
      </c>
      <c r="F5" s="787" t="s">
        <v>584</v>
      </c>
      <c r="G5" s="787" t="s">
        <v>585</v>
      </c>
      <c r="H5" s="542" t="s">
        <v>586</v>
      </c>
    </row>
    <row r="6" spans="1:8" ht="38.25" x14ac:dyDescent="0.25">
      <c r="A6" s="778"/>
      <c r="B6" s="779"/>
      <c r="C6" s="543" t="s">
        <v>587</v>
      </c>
      <c r="D6" s="543" t="s">
        <v>588</v>
      </c>
      <c r="E6" s="788"/>
      <c r="F6" s="788"/>
      <c r="G6" s="788"/>
      <c r="H6" s="542" t="s">
        <v>589</v>
      </c>
    </row>
    <row r="7" spans="1:8" x14ac:dyDescent="0.25">
      <c r="A7" s="548">
        <v>1</v>
      </c>
      <c r="B7" s="560" t="s">
        <v>595</v>
      </c>
      <c r="C7" s="546">
        <v>1035.08</v>
      </c>
      <c r="D7" s="546">
        <v>32279196.759999972</v>
      </c>
      <c r="E7" s="546">
        <v>97459.737961600767</v>
      </c>
      <c r="F7" s="546">
        <v>0</v>
      </c>
      <c r="G7" s="546">
        <v>0</v>
      </c>
      <c r="H7" s="664">
        <f t="shared" ref="H7:H34" si="0">C7+D7-E7-F7</f>
        <v>32182772.102038369</v>
      </c>
    </row>
    <row r="8" spans="1:8" x14ac:dyDescent="0.25">
      <c r="A8" s="548">
        <v>2</v>
      </c>
      <c r="B8" s="560" t="s">
        <v>596</v>
      </c>
      <c r="C8" s="546">
        <v>3544.8</v>
      </c>
      <c r="D8" s="546">
        <v>61611229.809999995</v>
      </c>
      <c r="E8" s="546">
        <v>24903.960997491751</v>
      </c>
      <c r="F8" s="546">
        <v>0</v>
      </c>
      <c r="G8" s="546">
        <v>0</v>
      </c>
      <c r="H8" s="664">
        <f t="shared" si="0"/>
        <v>61589870.6490025</v>
      </c>
    </row>
    <row r="9" spans="1:8" x14ac:dyDescent="0.25">
      <c r="A9" s="548">
        <v>3</v>
      </c>
      <c r="B9" s="560" t="s">
        <v>597</v>
      </c>
      <c r="C9" s="546">
        <v>0</v>
      </c>
      <c r="D9" s="546">
        <v>0</v>
      </c>
      <c r="E9" s="546">
        <v>0</v>
      </c>
      <c r="F9" s="546">
        <v>0</v>
      </c>
      <c r="G9" s="546">
        <v>0</v>
      </c>
      <c r="H9" s="664">
        <f t="shared" si="0"/>
        <v>0</v>
      </c>
    </row>
    <row r="10" spans="1:8" x14ac:dyDescent="0.25">
      <c r="A10" s="548">
        <v>4</v>
      </c>
      <c r="B10" s="560" t="s">
        <v>598</v>
      </c>
      <c r="C10" s="546">
        <v>0</v>
      </c>
      <c r="D10" s="546">
        <v>3667931.8899999997</v>
      </c>
      <c r="E10" s="546">
        <v>57019.78512221112</v>
      </c>
      <c r="F10" s="546">
        <v>0</v>
      </c>
      <c r="G10" s="546">
        <v>0</v>
      </c>
      <c r="H10" s="664">
        <f t="shared" si="0"/>
        <v>3610912.1048777886</v>
      </c>
    </row>
    <row r="11" spans="1:8" x14ac:dyDescent="0.25">
      <c r="A11" s="548">
        <v>5</v>
      </c>
      <c r="B11" s="560" t="s">
        <v>599</v>
      </c>
      <c r="C11" s="546">
        <v>0</v>
      </c>
      <c r="D11" s="546">
        <v>5897480.4100000001</v>
      </c>
      <c r="E11" s="546">
        <v>89821.977942657948</v>
      </c>
      <c r="F11" s="546">
        <v>0</v>
      </c>
      <c r="G11" s="546">
        <v>0</v>
      </c>
      <c r="H11" s="664">
        <f t="shared" si="0"/>
        <v>5807658.4320573425</v>
      </c>
    </row>
    <row r="12" spans="1:8" x14ac:dyDescent="0.25">
      <c r="A12" s="548">
        <v>6</v>
      </c>
      <c r="B12" s="560" t="s">
        <v>600</v>
      </c>
      <c r="C12" s="546">
        <v>0</v>
      </c>
      <c r="D12" s="546">
        <v>119344.09</v>
      </c>
      <c r="E12" s="546">
        <v>15067.028759886476</v>
      </c>
      <c r="F12" s="546">
        <v>0</v>
      </c>
      <c r="G12" s="546">
        <v>0</v>
      </c>
      <c r="H12" s="664">
        <f t="shared" si="0"/>
        <v>104277.06124011351</v>
      </c>
    </row>
    <row r="13" spans="1:8" x14ac:dyDescent="0.25">
      <c r="A13" s="548">
        <v>7</v>
      </c>
      <c r="B13" s="560" t="s">
        <v>602</v>
      </c>
      <c r="C13" s="546">
        <v>276.11</v>
      </c>
      <c r="D13" s="546">
        <v>1228829.1900000002</v>
      </c>
      <c r="E13" s="546">
        <v>29831.42095402017</v>
      </c>
      <c r="F13" s="546">
        <v>0</v>
      </c>
      <c r="G13" s="546">
        <v>0</v>
      </c>
      <c r="H13" s="664">
        <f t="shared" si="0"/>
        <v>1199273.8790459801</v>
      </c>
    </row>
    <row r="14" spans="1:8" x14ac:dyDescent="0.25">
      <c r="A14" s="548">
        <v>8</v>
      </c>
      <c r="B14" s="560" t="s">
        <v>603</v>
      </c>
      <c r="C14" s="546">
        <v>624.82000000000005</v>
      </c>
      <c r="D14" s="546">
        <v>70035.03</v>
      </c>
      <c r="E14" s="546">
        <v>25748.941256108279</v>
      </c>
      <c r="F14" s="546">
        <v>0</v>
      </c>
      <c r="G14" s="546">
        <v>294.51</v>
      </c>
      <c r="H14" s="664">
        <f t="shared" si="0"/>
        <v>44910.908743891727</v>
      </c>
    </row>
    <row r="15" spans="1:8" x14ac:dyDescent="0.25">
      <c r="A15" s="548">
        <v>9</v>
      </c>
      <c r="B15" s="560" t="s">
        <v>604</v>
      </c>
      <c r="C15" s="546">
        <v>62.64</v>
      </c>
      <c r="D15" s="546">
        <v>1085.3500000000001</v>
      </c>
      <c r="E15" s="546">
        <v>92.647420116559687</v>
      </c>
      <c r="F15" s="546">
        <v>0</v>
      </c>
      <c r="G15" s="546">
        <v>0</v>
      </c>
      <c r="H15" s="664">
        <f t="shared" si="0"/>
        <v>1055.3425798834405</v>
      </c>
    </row>
    <row r="16" spans="1:8" x14ac:dyDescent="0.25">
      <c r="A16" s="548">
        <v>10</v>
      </c>
      <c r="B16" s="560" t="s">
        <v>605</v>
      </c>
      <c r="C16" s="546">
        <v>0</v>
      </c>
      <c r="D16" s="546">
        <v>411.24</v>
      </c>
      <c r="E16" s="546">
        <v>12.001079364740638</v>
      </c>
      <c r="F16" s="546">
        <v>0</v>
      </c>
      <c r="G16" s="546">
        <v>0</v>
      </c>
      <c r="H16" s="664">
        <f t="shared" si="0"/>
        <v>399.23892063525938</v>
      </c>
    </row>
    <row r="17" spans="1:8" x14ac:dyDescent="0.25">
      <c r="A17" s="548">
        <v>11</v>
      </c>
      <c r="B17" s="560" t="s">
        <v>606</v>
      </c>
      <c r="C17" s="546">
        <v>0</v>
      </c>
      <c r="D17" s="546">
        <v>351.66999999999996</v>
      </c>
      <c r="E17" s="546">
        <v>26.912638731776017</v>
      </c>
      <c r="F17" s="546">
        <v>0</v>
      </c>
      <c r="G17" s="546">
        <v>123.97</v>
      </c>
      <c r="H17" s="664">
        <f t="shared" si="0"/>
        <v>324.75736126822392</v>
      </c>
    </row>
    <row r="18" spans="1:8" x14ac:dyDescent="0.25">
      <c r="A18" s="548">
        <v>12</v>
      </c>
      <c r="B18" s="560" t="s">
        <v>607</v>
      </c>
      <c r="C18" s="546">
        <v>505.94000000000005</v>
      </c>
      <c r="D18" s="546">
        <v>66532.479999999996</v>
      </c>
      <c r="E18" s="546">
        <v>2612.2706359503632</v>
      </c>
      <c r="F18" s="546">
        <v>0</v>
      </c>
      <c r="G18" s="546">
        <v>279.55</v>
      </c>
      <c r="H18" s="664">
        <f t="shared" si="0"/>
        <v>64426.149364049634</v>
      </c>
    </row>
    <row r="19" spans="1:8" x14ac:dyDescent="0.25">
      <c r="A19" s="548">
        <v>13</v>
      </c>
      <c r="B19" s="560" t="s">
        <v>608</v>
      </c>
      <c r="C19" s="546">
        <v>346.28999999999996</v>
      </c>
      <c r="D19" s="546">
        <v>33545.390000000007</v>
      </c>
      <c r="E19" s="546">
        <v>1233.1362939556082</v>
      </c>
      <c r="F19" s="546">
        <v>0</v>
      </c>
      <c r="G19" s="546">
        <v>0</v>
      </c>
      <c r="H19" s="664">
        <f t="shared" si="0"/>
        <v>32658.543706044398</v>
      </c>
    </row>
    <row r="20" spans="1:8" x14ac:dyDescent="0.25">
      <c r="A20" s="548">
        <v>14</v>
      </c>
      <c r="B20" s="560" t="s">
        <v>609</v>
      </c>
      <c r="C20" s="546">
        <v>0</v>
      </c>
      <c r="D20" s="546">
        <v>1241460.5</v>
      </c>
      <c r="E20" s="546">
        <v>25042.237529414284</v>
      </c>
      <c r="F20" s="546">
        <v>0</v>
      </c>
      <c r="G20" s="546">
        <v>0</v>
      </c>
      <c r="H20" s="664">
        <f t="shared" si="0"/>
        <v>1216418.2624705858</v>
      </c>
    </row>
    <row r="21" spans="1:8" x14ac:dyDescent="0.25">
      <c r="A21" s="548">
        <v>15</v>
      </c>
      <c r="B21" s="560" t="s">
        <v>610</v>
      </c>
      <c r="C21" s="546">
        <v>0</v>
      </c>
      <c r="D21" s="546">
        <v>74154.659999999989</v>
      </c>
      <c r="E21" s="546">
        <v>2426.1058172824692</v>
      </c>
      <c r="F21" s="546">
        <v>0</v>
      </c>
      <c r="G21" s="546">
        <v>0</v>
      </c>
      <c r="H21" s="664">
        <f t="shared" si="0"/>
        <v>71728.554182717518</v>
      </c>
    </row>
    <row r="22" spans="1:8" x14ac:dyDescent="0.25">
      <c r="A22" s="548">
        <v>16</v>
      </c>
      <c r="B22" s="560" t="s">
        <v>611</v>
      </c>
      <c r="C22" s="546">
        <v>0</v>
      </c>
      <c r="D22" s="546">
        <v>0</v>
      </c>
      <c r="E22" s="546">
        <v>0</v>
      </c>
      <c r="F22" s="546">
        <v>0</v>
      </c>
      <c r="G22" s="546">
        <v>0</v>
      </c>
      <c r="H22" s="664">
        <f t="shared" si="0"/>
        <v>0</v>
      </c>
    </row>
    <row r="23" spans="1:8" x14ac:dyDescent="0.25">
      <c r="A23" s="548">
        <v>17</v>
      </c>
      <c r="B23" s="560" t="s">
        <v>612</v>
      </c>
      <c r="C23" s="546">
        <v>7291.09</v>
      </c>
      <c r="D23" s="546">
        <v>0</v>
      </c>
      <c r="E23" s="546">
        <v>4163.6937098700091</v>
      </c>
      <c r="F23" s="546">
        <v>0</v>
      </c>
      <c r="G23" s="546">
        <v>0</v>
      </c>
      <c r="H23" s="664">
        <f t="shared" si="0"/>
        <v>3127.396290129991</v>
      </c>
    </row>
    <row r="24" spans="1:8" x14ac:dyDescent="0.25">
      <c r="A24" s="548">
        <v>18</v>
      </c>
      <c r="B24" s="560" t="s">
        <v>613</v>
      </c>
      <c r="C24" s="546">
        <v>0</v>
      </c>
      <c r="D24" s="546">
        <v>54841.959999999992</v>
      </c>
      <c r="E24" s="546">
        <v>1138.8291214880878</v>
      </c>
      <c r="F24" s="546">
        <v>0</v>
      </c>
      <c r="G24" s="546">
        <v>0</v>
      </c>
      <c r="H24" s="664">
        <f t="shared" si="0"/>
        <v>53703.130878511904</v>
      </c>
    </row>
    <row r="25" spans="1:8" x14ac:dyDescent="0.25">
      <c r="A25" s="548">
        <v>19</v>
      </c>
      <c r="B25" s="560" t="s">
        <v>614</v>
      </c>
      <c r="C25" s="546">
        <v>0</v>
      </c>
      <c r="D25" s="546">
        <v>86013</v>
      </c>
      <c r="E25" s="546">
        <v>2611.9001200593361</v>
      </c>
      <c r="F25" s="546">
        <v>0</v>
      </c>
      <c r="G25" s="546">
        <v>0</v>
      </c>
      <c r="H25" s="664">
        <f t="shared" si="0"/>
        <v>83401.099879940666</v>
      </c>
    </row>
    <row r="26" spans="1:8" x14ac:dyDescent="0.25">
      <c r="A26" s="548">
        <v>20</v>
      </c>
      <c r="B26" s="560" t="s">
        <v>615</v>
      </c>
      <c r="C26" s="546">
        <v>322.42</v>
      </c>
      <c r="D26" s="546">
        <v>82255.360000000001</v>
      </c>
      <c r="E26" s="546">
        <v>2820.9172344747867</v>
      </c>
      <c r="F26" s="546">
        <v>0</v>
      </c>
      <c r="G26" s="546">
        <v>0</v>
      </c>
      <c r="H26" s="664">
        <f t="shared" si="0"/>
        <v>79756.862765525206</v>
      </c>
    </row>
    <row r="27" spans="1:8" x14ac:dyDescent="0.25">
      <c r="A27" s="548">
        <v>21</v>
      </c>
      <c r="B27" s="560" t="s">
        <v>616</v>
      </c>
      <c r="C27" s="546">
        <v>217.08</v>
      </c>
      <c r="D27" s="546">
        <v>131659.16999999998</v>
      </c>
      <c r="E27" s="546">
        <v>6795.8511699097326</v>
      </c>
      <c r="F27" s="546">
        <v>0</v>
      </c>
      <c r="G27" s="546">
        <v>0</v>
      </c>
      <c r="H27" s="664">
        <f t="shared" si="0"/>
        <v>125080.39883009024</v>
      </c>
    </row>
    <row r="28" spans="1:8" x14ac:dyDescent="0.25">
      <c r="A28" s="548">
        <v>22</v>
      </c>
      <c r="B28" s="560" t="s">
        <v>617</v>
      </c>
      <c r="C28" s="546">
        <v>47622.74</v>
      </c>
      <c r="D28" s="546">
        <v>2658768.4899999984</v>
      </c>
      <c r="E28" s="546">
        <v>118832.89540858354</v>
      </c>
      <c r="F28" s="546">
        <v>0</v>
      </c>
      <c r="G28" s="546">
        <v>2349.33</v>
      </c>
      <c r="H28" s="664">
        <f t="shared" si="0"/>
        <v>2587558.3345914152</v>
      </c>
    </row>
    <row r="29" spans="1:8" x14ac:dyDescent="0.25">
      <c r="A29" s="548">
        <v>23</v>
      </c>
      <c r="B29" s="560" t="s">
        <v>618</v>
      </c>
      <c r="C29" s="546">
        <v>46844.479999999989</v>
      </c>
      <c r="D29" s="546">
        <v>1510465.5300000012</v>
      </c>
      <c r="E29" s="546">
        <v>73005.737547736921</v>
      </c>
      <c r="F29" s="546">
        <v>0</v>
      </c>
      <c r="G29" s="546">
        <v>7.5</v>
      </c>
      <c r="H29" s="664">
        <f t="shared" si="0"/>
        <v>1484304.2724522643</v>
      </c>
    </row>
    <row r="30" spans="1:8" x14ac:dyDescent="0.25">
      <c r="A30" s="548">
        <v>24</v>
      </c>
      <c r="B30" s="560" t="s">
        <v>619</v>
      </c>
      <c r="C30" s="546">
        <v>1058532.6599999999</v>
      </c>
      <c r="D30" s="546">
        <v>1532.67</v>
      </c>
      <c r="E30" s="546">
        <v>365146.3759066966</v>
      </c>
      <c r="F30" s="546">
        <v>0</v>
      </c>
      <c r="G30" s="546">
        <v>0</v>
      </c>
      <c r="H30" s="664">
        <f t="shared" si="0"/>
        <v>694918.9540933033</v>
      </c>
    </row>
    <row r="31" spans="1:8" x14ac:dyDescent="0.25">
      <c r="A31" s="548">
        <v>25</v>
      </c>
      <c r="B31" s="560" t="s">
        <v>212</v>
      </c>
      <c r="C31" s="546">
        <v>80145.45</v>
      </c>
      <c r="D31" s="546">
        <v>2796677.363566645</v>
      </c>
      <c r="E31" s="546">
        <v>135478.33028120254</v>
      </c>
      <c r="F31" s="546">
        <v>0</v>
      </c>
      <c r="G31" s="546">
        <v>0</v>
      </c>
      <c r="H31" s="664">
        <f t="shared" si="0"/>
        <v>2741344.4832854425</v>
      </c>
    </row>
    <row r="32" spans="1:8" x14ac:dyDescent="0.25">
      <c r="A32" s="548">
        <v>26</v>
      </c>
      <c r="B32" s="560" t="s">
        <v>620</v>
      </c>
      <c r="C32" s="546">
        <v>0</v>
      </c>
      <c r="D32" s="546">
        <v>0</v>
      </c>
      <c r="E32" s="546">
        <v>0</v>
      </c>
      <c r="F32" s="546">
        <v>0</v>
      </c>
      <c r="G32" s="546">
        <v>0</v>
      </c>
      <c r="H32" s="664">
        <f t="shared" si="0"/>
        <v>0</v>
      </c>
    </row>
    <row r="33" spans="1:8" x14ac:dyDescent="0.25">
      <c r="A33" s="548">
        <v>27</v>
      </c>
      <c r="B33" s="548" t="s">
        <v>118</v>
      </c>
      <c r="C33" s="546">
        <f>'18. Assets by Exposure classes'!C20</f>
        <v>92689.03</v>
      </c>
      <c r="D33" s="546">
        <f>'18. Assets by Exposure classes'!D20</f>
        <v>26493945.901507363</v>
      </c>
      <c r="E33" s="546">
        <f>'18. Assets by Exposure classes'!E20</f>
        <v>92689.03</v>
      </c>
      <c r="F33" s="546">
        <v>0</v>
      </c>
      <c r="G33" s="546">
        <v>0</v>
      </c>
      <c r="H33" s="664">
        <f t="shared" si="0"/>
        <v>26493945.901507363</v>
      </c>
    </row>
    <row r="34" spans="1:8" x14ac:dyDescent="0.25">
      <c r="A34" s="548">
        <v>28</v>
      </c>
      <c r="B34" s="553" t="s">
        <v>92</v>
      </c>
      <c r="C34" s="561">
        <f>SUM(C7:C33)</f>
        <v>1340060.6299999999</v>
      </c>
      <c r="D34" s="561">
        <f>SUM(D7:D33)</f>
        <v>140107747.91507396</v>
      </c>
      <c r="E34" s="561">
        <f>SUM(E7:E33)</f>
        <v>1173981.7249088138</v>
      </c>
      <c r="F34" s="561">
        <f>SUM(F7:F33)</f>
        <v>0</v>
      </c>
      <c r="G34" s="561">
        <f>SUM(G7:G33)</f>
        <v>3054.8599999999997</v>
      </c>
      <c r="H34" s="664">
        <f t="shared" si="0"/>
        <v>140273826.82016516</v>
      </c>
    </row>
    <row r="35" spans="1:8" x14ac:dyDescent="0.25">
      <c r="C35" s="657"/>
      <c r="D35" s="657"/>
      <c r="E35" s="657"/>
      <c r="F35" s="657"/>
      <c r="G35" s="657"/>
      <c r="H35" s="657"/>
    </row>
    <row r="36" spans="1:8" x14ac:dyDescent="0.25">
      <c r="B36" s="562"/>
      <c r="C36" s="657"/>
      <c r="D36" s="657"/>
      <c r="E36" s="657"/>
      <c r="F36" s="563"/>
      <c r="G36" s="563"/>
      <c r="H36" s="656"/>
    </row>
    <row r="38" spans="1:8" x14ac:dyDescent="0.25">
      <c r="C38" s="656"/>
      <c r="D38" s="656"/>
      <c r="E38" s="656"/>
    </row>
    <row r="40" spans="1:8" x14ac:dyDescent="0.25">
      <c r="D40" s="529"/>
      <c r="E40" s="564"/>
    </row>
  </sheetData>
  <mergeCells count="5">
    <mergeCell ref="A5:B6"/>
    <mergeCell ref="C5:D5"/>
    <mergeCell ref="E5:E6"/>
    <mergeCell ref="F5:F6"/>
    <mergeCell ref="G5:G6"/>
  </mergeCells>
  <conditionalFormatting sqref="A5">
    <cfRule type="duplicateValues" dxfId="12" priority="1"/>
    <cfRule type="duplicateValues" dxfId="11" priority="2"/>
    <cfRule type="duplicateValues" dxfId="10" priority="3"/>
  </conditionalFormatting>
  <conditionalFormatting sqref="B7:B31">
    <cfRule type="duplicateValues" dxfId="9" priority="4"/>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5B57-8BFF-4301-A13B-2191E371285B}">
  <dimension ref="A1:F19"/>
  <sheetViews>
    <sheetView showGridLines="0" zoomScale="115" zoomScaleNormal="115" workbookViewId="0">
      <selection activeCell="C19" sqref="C19"/>
    </sheetView>
  </sheetViews>
  <sheetFormatPr defaultColWidth="9.140625" defaultRowHeight="12.75" x14ac:dyDescent="0.25"/>
  <cols>
    <col min="1" max="1" width="11.85546875" style="521" bestFit="1" customWidth="1"/>
    <col min="2" max="2" width="108" style="521" bestFit="1" customWidth="1"/>
    <col min="3" max="3" width="20.28515625" style="521" customWidth="1"/>
    <col min="4" max="4" width="23.28515625" style="521" customWidth="1"/>
    <col min="5" max="5" width="10.42578125" style="521" bestFit="1" customWidth="1"/>
    <col min="6" max="6" width="9.85546875" style="521" bestFit="1" customWidth="1"/>
    <col min="7" max="16384" width="9.140625" style="521"/>
  </cols>
  <sheetData>
    <row r="1" spans="1:6" ht="13.5" x14ac:dyDescent="0.25">
      <c r="A1" s="520" t="s">
        <v>41</v>
      </c>
      <c r="B1" s="21" t="str">
        <f>Info!C2</f>
        <v>სს სილქ ბანკი</v>
      </c>
    </row>
    <row r="2" spans="1:6" x14ac:dyDescent="0.25">
      <c r="A2" s="520" t="s">
        <v>42</v>
      </c>
      <c r="B2" s="522">
        <f>'1. key ratios'!B2</f>
        <v>45107</v>
      </c>
    </row>
    <row r="3" spans="1:6" x14ac:dyDescent="0.25">
      <c r="A3" s="523" t="s">
        <v>621</v>
      </c>
    </row>
    <row r="5" spans="1:6" ht="25.5" x14ac:dyDescent="0.25">
      <c r="A5" s="791" t="s">
        <v>622</v>
      </c>
      <c r="B5" s="791"/>
      <c r="C5" s="524" t="s">
        <v>623</v>
      </c>
      <c r="D5" s="524" t="s">
        <v>624</v>
      </c>
    </row>
    <row r="6" spans="1:6" x14ac:dyDescent="0.25">
      <c r="A6" s="565">
        <v>1</v>
      </c>
      <c r="B6" s="566" t="s">
        <v>625</v>
      </c>
      <c r="C6" s="567">
        <v>903117.34887441224</v>
      </c>
      <c r="D6" s="528">
        <v>73430.63</v>
      </c>
    </row>
    <row r="7" spans="1:6" x14ac:dyDescent="0.25">
      <c r="A7" s="568">
        <v>2</v>
      </c>
      <c r="B7" s="566" t="s">
        <v>626</v>
      </c>
      <c r="C7" s="528">
        <f>SUM(C8:C9)</f>
        <v>237596.18727243232</v>
      </c>
      <c r="D7" s="528">
        <f>SUM(D8:D9)</f>
        <v>10895.415863827069</v>
      </c>
      <c r="E7" s="529"/>
      <c r="F7" s="529"/>
    </row>
    <row r="8" spans="1:6" x14ac:dyDescent="0.25">
      <c r="A8" s="569">
        <v>2.1</v>
      </c>
      <c r="B8" s="570" t="s">
        <v>627</v>
      </c>
      <c r="C8" s="528">
        <v>190748.71131116271</v>
      </c>
      <c r="D8" s="528"/>
      <c r="E8" s="529"/>
      <c r="F8" s="529"/>
    </row>
    <row r="9" spans="1:6" x14ac:dyDescent="0.25">
      <c r="A9" s="569">
        <v>2.2000000000000002</v>
      </c>
      <c r="B9" s="570" t="s">
        <v>628</v>
      </c>
      <c r="C9" s="528">
        <v>46847.475961269607</v>
      </c>
      <c r="D9" s="527">
        <v>10895.415863827069</v>
      </c>
      <c r="E9" s="529"/>
      <c r="F9" s="529"/>
    </row>
    <row r="10" spans="1:6" x14ac:dyDescent="0.25">
      <c r="A10" s="565">
        <v>3</v>
      </c>
      <c r="B10" s="566" t="s">
        <v>629</v>
      </c>
      <c r="C10" s="528">
        <f>SUM(C11:C13)</f>
        <v>134738.20930646776</v>
      </c>
      <c r="D10" s="528">
        <f>D11+D12+D13+D14</f>
        <v>5945.0698810969707</v>
      </c>
      <c r="E10" s="529"/>
      <c r="F10" s="529"/>
    </row>
    <row r="11" spans="1:6" x14ac:dyDescent="0.25">
      <c r="A11" s="569">
        <v>3.1</v>
      </c>
      <c r="B11" s="570" t="s">
        <v>630</v>
      </c>
      <c r="C11" s="528"/>
      <c r="D11" s="528"/>
      <c r="E11" s="529"/>
      <c r="F11" s="529"/>
    </row>
    <row r="12" spans="1:6" x14ac:dyDescent="0.25">
      <c r="A12" s="569">
        <v>3.2</v>
      </c>
      <c r="B12" s="570" t="s">
        <v>631</v>
      </c>
      <c r="C12" s="528">
        <v>90467.643580154428</v>
      </c>
      <c r="D12" s="528">
        <v>5945.0698810969707</v>
      </c>
      <c r="E12" s="529"/>
      <c r="F12" s="529"/>
    </row>
    <row r="13" spans="1:6" x14ac:dyDescent="0.25">
      <c r="A13" s="569">
        <v>3.3</v>
      </c>
      <c r="B13" s="570" t="s">
        <v>632</v>
      </c>
      <c r="C13" s="528">
        <v>44270.565726313333</v>
      </c>
      <c r="D13" s="528"/>
      <c r="E13" s="529"/>
      <c r="F13" s="529"/>
    </row>
    <row r="14" spans="1:6" x14ac:dyDescent="0.25">
      <c r="A14" s="568">
        <v>4</v>
      </c>
      <c r="B14" s="571" t="s">
        <v>633</v>
      </c>
      <c r="C14" s="528">
        <v>-3063.6032975289086</v>
      </c>
      <c r="D14" s="528"/>
      <c r="E14" s="656"/>
    </row>
    <row r="15" spans="1:6" x14ac:dyDescent="0.25">
      <c r="A15" s="572">
        <v>5</v>
      </c>
      <c r="B15" s="566" t="s">
        <v>634</v>
      </c>
      <c r="C15" s="567">
        <f>C6+C7-C10+C14</f>
        <v>1002911.7235428478</v>
      </c>
      <c r="D15" s="567">
        <f>D6+D7-D10+D14</f>
        <v>78380.975982730102</v>
      </c>
      <c r="E15" s="656"/>
    </row>
    <row r="16" spans="1:6" x14ac:dyDescent="0.25">
      <c r="C16" s="653"/>
      <c r="D16" s="653"/>
    </row>
    <row r="19" spans="3:3" x14ac:dyDescent="0.25">
      <c r="C19" s="529"/>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397E-6C9A-4D7D-A652-F2E1A26437E9}">
  <dimension ref="A1:D23"/>
  <sheetViews>
    <sheetView showGridLines="0" topLeftCell="B1" zoomScaleNormal="100" workbookViewId="0">
      <selection activeCell="C22" sqref="C22"/>
    </sheetView>
  </sheetViews>
  <sheetFormatPr defaultColWidth="9.140625" defaultRowHeight="12.75" x14ac:dyDescent="0.25"/>
  <cols>
    <col min="1" max="1" width="11.85546875" style="539" bestFit="1" customWidth="1"/>
    <col min="2" max="2" width="128.85546875" style="539" bestFit="1" customWidth="1"/>
    <col min="3" max="3" width="32.85546875" style="539" customWidth="1"/>
    <col min="4" max="4" width="41.7109375" style="539" customWidth="1"/>
    <col min="5" max="16384" width="9.140625" style="539"/>
  </cols>
  <sheetData>
    <row r="1" spans="1:4" ht="13.5" x14ac:dyDescent="0.25">
      <c r="A1" s="520" t="s">
        <v>41</v>
      </c>
      <c r="B1" s="21" t="str">
        <f>Info!C2</f>
        <v>სს სილქ ბანკი</v>
      </c>
    </row>
    <row r="2" spans="1:4" x14ac:dyDescent="0.25">
      <c r="A2" s="520" t="s">
        <v>42</v>
      </c>
      <c r="B2" s="522">
        <f>'1. key ratios'!B2</f>
        <v>45107</v>
      </c>
    </row>
    <row r="3" spans="1:4" x14ac:dyDescent="0.25">
      <c r="A3" s="523" t="s">
        <v>635</v>
      </c>
    </row>
    <row r="4" spans="1:4" x14ac:dyDescent="0.25">
      <c r="A4" s="523"/>
    </row>
    <row r="5" spans="1:4" ht="15" customHeight="1" x14ac:dyDescent="0.25">
      <c r="A5" s="792" t="s">
        <v>35</v>
      </c>
      <c r="B5" s="793"/>
      <c r="C5" s="796" t="s">
        <v>636</v>
      </c>
      <c r="D5" s="796" t="s">
        <v>637</v>
      </c>
    </row>
    <row r="6" spans="1:4" ht="28.5" customHeight="1" x14ac:dyDescent="0.25">
      <c r="A6" s="794"/>
      <c r="B6" s="795"/>
      <c r="C6" s="796"/>
      <c r="D6" s="796"/>
    </row>
    <row r="7" spans="1:4" x14ac:dyDescent="0.25">
      <c r="A7" s="553">
        <v>1</v>
      </c>
      <c r="B7" s="553" t="s">
        <v>638</v>
      </c>
      <c r="C7" s="547">
        <v>1256337.96</v>
      </c>
      <c r="D7" s="574"/>
    </row>
    <row r="8" spans="1:4" x14ac:dyDescent="0.25">
      <c r="A8" s="548">
        <v>2</v>
      </c>
      <c r="B8" s="548" t="s">
        <v>639</v>
      </c>
      <c r="C8" s="546">
        <v>30498</v>
      </c>
      <c r="D8" s="574"/>
    </row>
    <row r="9" spans="1:4" x14ac:dyDescent="0.25">
      <c r="A9" s="548">
        <v>3</v>
      </c>
      <c r="B9" s="575" t="s">
        <v>640</v>
      </c>
      <c r="C9" s="546"/>
      <c r="D9" s="574"/>
    </row>
    <row r="10" spans="1:4" x14ac:dyDescent="0.25">
      <c r="A10" s="548">
        <v>4</v>
      </c>
      <c r="B10" s="548" t="s">
        <v>641</v>
      </c>
      <c r="C10" s="546">
        <f>SUM(C11:C17)</f>
        <v>-39464.36</v>
      </c>
      <c r="D10" s="574"/>
    </row>
    <row r="11" spans="1:4" x14ac:dyDescent="0.25">
      <c r="A11" s="548">
        <v>5</v>
      </c>
      <c r="B11" s="576" t="s">
        <v>642</v>
      </c>
      <c r="C11" s="546">
        <v>0</v>
      </c>
      <c r="D11" s="574"/>
    </row>
    <row r="12" spans="1:4" x14ac:dyDescent="0.25">
      <c r="A12" s="548">
        <v>6</v>
      </c>
      <c r="B12" s="576" t="s">
        <v>643</v>
      </c>
      <c r="C12" s="546">
        <v>-23574</v>
      </c>
      <c r="D12" s="574"/>
    </row>
    <row r="13" spans="1:4" x14ac:dyDescent="0.25">
      <c r="A13" s="548">
        <v>7</v>
      </c>
      <c r="B13" s="576" t="s">
        <v>644</v>
      </c>
      <c r="C13" s="546">
        <v>-15890.36</v>
      </c>
      <c r="D13" s="574"/>
    </row>
    <row r="14" spans="1:4" x14ac:dyDescent="0.25">
      <c r="A14" s="548">
        <v>8</v>
      </c>
      <c r="B14" s="576" t="s">
        <v>645</v>
      </c>
      <c r="C14" s="546"/>
      <c r="D14" s="548"/>
    </row>
    <row r="15" spans="1:4" x14ac:dyDescent="0.25">
      <c r="A15" s="548">
        <v>9</v>
      </c>
      <c r="B15" s="576" t="s">
        <v>646</v>
      </c>
      <c r="C15" s="546"/>
      <c r="D15" s="548"/>
    </row>
    <row r="16" spans="1:4" x14ac:dyDescent="0.25">
      <c r="A16" s="548">
        <v>10</v>
      </c>
      <c r="B16" s="576" t="s">
        <v>647</v>
      </c>
      <c r="C16" s="546"/>
      <c r="D16" s="548"/>
    </row>
    <row r="17" spans="1:4" ht="25.5" x14ac:dyDescent="0.25">
      <c r="A17" s="548">
        <v>11</v>
      </c>
      <c r="B17" s="576" t="s">
        <v>648</v>
      </c>
      <c r="C17" s="546"/>
      <c r="D17" s="574"/>
    </row>
    <row r="18" spans="1:4" x14ac:dyDescent="0.25">
      <c r="A18" s="553">
        <v>12</v>
      </c>
      <c r="B18" s="577" t="s">
        <v>649</v>
      </c>
      <c r="C18" s="561">
        <f>'24. Risk Sector'!F33</f>
        <v>1247371.5999999999</v>
      </c>
      <c r="D18" s="574"/>
    </row>
    <row r="19" spans="1:4" x14ac:dyDescent="0.25">
      <c r="C19" s="665"/>
    </row>
    <row r="20" spans="1:4" x14ac:dyDescent="0.25">
      <c r="C20" s="666"/>
    </row>
    <row r="21" spans="1:4" x14ac:dyDescent="0.25">
      <c r="B21" s="520"/>
    </row>
    <row r="22" spans="1:4" x14ac:dyDescent="0.25">
      <c r="B22" s="520"/>
      <c r="C22" s="834"/>
    </row>
    <row r="23" spans="1:4" x14ac:dyDescent="0.25">
      <c r="B23" s="523"/>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995CC-757D-4CCD-A3FC-07524D9B5FAF}">
  <dimension ref="A1:AB28"/>
  <sheetViews>
    <sheetView showGridLines="0" zoomScale="115" zoomScaleNormal="115" workbookViewId="0">
      <selection activeCell="D11" sqref="D11"/>
    </sheetView>
  </sheetViews>
  <sheetFormatPr defaultColWidth="9.140625" defaultRowHeight="12.75" x14ac:dyDescent="0.25"/>
  <cols>
    <col min="1" max="1" width="11.85546875" style="539" bestFit="1" customWidth="1"/>
    <col min="2" max="2" width="63.85546875" style="539" customWidth="1"/>
    <col min="3" max="3" width="15.5703125" style="539" customWidth="1"/>
    <col min="4" max="4" width="18.28515625" style="539" customWidth="1"/>
    <col min="5" max="18" width="22.28515625" style="539" customWidth="1"/>
    <col min="19" max="19" width="23.28515625" style="539" bestFit="1" customWidth="1"/>
    <col min="20" max="26" width="22.28515625" style="539" customWidth="1"/>
    <col min="27" max="27" width="23.28515625" style="539" bestFit="1" customWidth="1"/>
    <col min="28" max="28" width="20" style="539" customWidth="1"/>
    <col min="29" max="16384" width="9.140625" style="539"/>
  </cols>
  <sheetData>
    <row r="1" spans="1:28" ht="13.5" x14ac:dyDescent="0.25">
      <c r="A1" s="520" t="s">
        <v>41</v>
      </c>
      <c r="B1" s="21" t="str">
        <f>Info!C2</f>
        <v>სს სილქ ბანკი</v>
      </c>
    </row>
    <row r="2" spans="1:28" x14ac:dyDescent="0.25">
      <c r="A2" s="520" t="s">
        <v>42</v>
      </c>
      <c r="B2" s="522">
        <f>'1. key ratios'!B2</f>
        <v>45107</v>
      </c>
      <c r="C2" s="540"/>
    </row>
    <row r="3" spans="1:28" x14ac:dyDescent="0.25">
      <c r="A3" s="523" t="s">
        <v>650</v>
      </c>
      <c r="E3" s="578"/>
      <c r="F3" s="579"/>
    </row>
    <row r="5" spans="1:28" ht="15" customHeight="1" x14ac:dyDescent="0.25">
      <c r="A5" s="797" t="s">
        <v>651</v>
      </c>
      <c r="B5" s="798"/>
      <c r="C5" s="789" t="s">
        <v>652</v>
      </c>
      <c r="D5" s="803"/>
      <c r="E5" s="803"/>
      <c r="F5" s="803"/>
      <c r="G5" s="803"/>
      <c r="H5" s="803"/>
      <c r="I5" s="803"/>
      <c r="J5" s="803"/>
      <c r="K5" s="803"/>
      <c r="L5" s="803"/>
      <c r="M5" s="803"/>
      <c r="N5" s="803"/>
      <c r="O5" s="803"/>
      <c r="P5" s="803"/>
      <c r="Q5" s="803"/>
      <c r="R5" s="803"/>
      <c r="S5" s="803"/>
      <c r="T5" s="580"/>
      <c r="U5" s="580"/>
      <c r="V5" s="580"/>
      <c r="W5" s="580"/>
      <c r="X5" s="580"/>
      <c r="Y5" s="580"/>
      <c r="Z5" s="580"/>
      <c r="AA5" s="559"/>
      <c r="AB5" s="578"/>
    </row>
    <row r="6" spans="1:28" x14ac:dyDescent="0.25">
      <c r="A6" s="799"/>
      <c r="B6" s="800"/>
      <c r="C6" s="804" t="s">
        <v>92</v>
      </c>
      <c r="D6" s="806" t="s">
        <v>653</v>
      </c>
      <c r="E6" s="806"/>
      <c r="F6" s="806"/>
      <c r="G6" s="806"/>
      <c r="H6" s="807" t="s">
        <v>654</v>
      </c>
      <c r="I6" s="808"/>
      <c r="J6" s="808"/>
      <c r="K6" s="809"/>
      <c r="L6" s="582"/>
      <c r="M6" s="810" t="s">
        <v>655</v>
      </c>
      <c r="N6" s="810"/>
      <c r="O6" s="810"/>
      <c r="P6" s="810"/>
      <c r="Q6" s="810"/>
      <c r="R6" s="810"/>
      <c r="S6" s="788"/>
      <c r="T6" s="581"/>
      <c r="U6" s="790" t="s">
        <v>656</v>
      </c>
      <c r="V6" s="790"/>
      <c r="W6" s="790"/>
      <c r="X6" s="790"/>
      <c r="Y6" s="790"/>
      <c r="Z6" s="790"/>
      <c r="AA6" s="786"/>
      <c r="AB6" s="582"/>
    </row>
    <row r="7" spans="1:28" ht="25.5" x14ac:dyDescent="0.25">
      <c r="A7" s="801"/>
      <c r="B7" s="802"/>
      <c r="C7" s="805"/>
      <c r="D7" s="584"/>
      <c r="E7" s="542" t="s">
        <v>657</v>
      </c>
      <c r="F7" s="542" t="s">
        <v>658</v>
      </c>
      <c r="G7" s="542" t="s">
        <v>659</v>
      </c>
      <c r="H7" s="585"/>
      <c r="I7" s="542" t="s">
        <v>657</v>
      </c>
      <c r="J7" s="542" t="s">
        <v>658</v>
      </c>
      <c r="K7" s="542" t="s">
        <v>659</v>
      </c>
      <c r="L7" s="583"/>
      <c r="M7" s="542" t="s">
        <v>657</v>
      </c>
      <c r="N7" s="542" t="s">
        <v>658</v>
      </c>
      <c r="O7" s="542" t="s">
        <v>660</v>
      </c>
      <c r="P7" s="542" t="s">
        <v>661</v>
      </c>
      <c r="Q7" s="542" t="s">
        <v>662</v>
      </c>
      <c r="R7" s="542" t="s">
        <v>663</v>
      </c>
      <c r="S7" s="542" t="s">
        <v>664</v>
      </c>
      <c r="T7" s="544"/>
      <c r="U7" s="542" t="s">
        <v>657</v>
      </c>
      <c r="V7" s="542" t="s">
        <v>658</v>
      </c>
      <c r="W7" s="542" t="s">
        <v>660</v>
      </c>
      <c r="X7" s="542" t="s">
        <v>661</v>
      </c>
      <c r="Y7" s="542" t="s">
        <v>662</v>
      </c>
      <c r="Z7" s="542" t="s">
        <v>663</v>
      </c>
      <c r="AA7" s="542" t="s">
        <v>664</v>
      </c>
      <c r="AB7" s="578"/>
    </row>
    <row r="8" spans="1:28" x14ac:dyDescent="0.25">
      <c r="A8" s="586">
        <v>1</v>
      </c>
      <c r="B8" s="553" t="s">
        <v>623</v>
      </c>
      <c r="C8" s="561">
        <v>22166210.153566647</v>
      </c>
      <c r="D8" s="561">
        <v>20622668.103566647</v>
      </c>
      <c r="E8" s="561">
        <v>203640.06000000006</v>
      </c>
      <c r="F8" s="561">
        <v>0</v>
      </c>
      <c r="G8" s="561">
        <v>0</v>
      </c>
      <c r="H8" s="561">
        <v>296170.45</v>
      </c>
      <c r="I8" s="561">
        <v>488.15000000000009</v>
      </c>
      <c r="J8" s="561">
        <v>117354.31</v>
      </c>
      <c r="K8" s="561">
        <v>0</v>
      </c>
      <c r="L8" s="561">
        <v>1247371.5999999999</v>
      </c>
      <c r="M8" s="561">
        <v>39940.61</v>
      </c>
      <c r="N8" s="561">
        <v>4012.1800000000003</v>
      </c>
      <c r="O8" s="561">
        <v>2531.92</v>
      </c>
      <c r="P8" s="561">
        <v>29297.88</v>
      </c>
      <c r="Q8" s="561">
        <v>0</v>
      </c>
      <c r="R8" s="561">
        <v>1058532.6599999999</v>
      </c>
      <c r="S8" s="561">
        <v>0</v>
      </c>
      <c r="T8" s="561">
        <v>0</v>
      </c>
      <c r="U8" s="561">
        <v>0</v>
      </c>
      <c r="V8" s="561">
        <v>0</v>
      </c>
      <c r="W8" s="561">
        <v>0</v>
      </c>
      <c r="X8" s="561">
        <v>0</v>
      </c>
      <c r="Y8" s="561">
        <v>0</v>
      </c>
      <c r="Z8" s="561">
        <v>0</v>
      </c>
      <c r="AA8" s="561">
        <v>0</v>
      </c>
    </row>
    <row r="9" spans="1:28" x14ac:dyDescent="0.25">
      <c r="A9" s="548">
        <v>1.1000000000000001</v>
      </c>
      <c r="B9" s="568" t="s">
        <v>665</v>
      </c>
      <c r="C9" s="561">
        <v>0</v>
      </c>
      <c r="D9" s="546"/>
      <c r="E9" s="546"/>
      <c r="F9" s="546"/>
      <c r="G9" s="546"/>
      <c r="H9" s="546"/>
      <c r="I9" s="546"/>
      <c r="J9" s="546"/>
      <c r="K9" s="546"/>
      <c r="L9" s="546"/>
      <c r="M9" s="546"/>
      <c r="N9" s="546"/>
      <c r="O9" s="546"/>
      <c r="P9" s="546"/>
      <c r="Q9" s="546"/>
      <c r="R9" s="546"/>
      <c r="S9" s="546"/>
      <c r="T9" s="546"/>
      <c r="U9" s="546"/>
      <c r="V9" s="546"/>
      <c r="W9" s="546"/>
      <c r="X9" s="546"/>
      <c r="Y9" s="546"/>
      <c r="Z9" s="546"/>
      <c r="AA9" s="546"/>
    </row>
    <row r="10" spans="1:28" x14ac:dyDescent="0.25">
      <c r="A10" s="548">
        <v>1.2</v>
      </c>
      <c r="B10" s="568" t="s">
        <v>666</v>
      </c>
      <c r="C10" s="561">
        <v>0</v>
      </c>
      <c r="D10" s="546"/>
      <c r="E10" s="546"/>
      <c r="F10" s="546"/>
      <c r="G10" s="546"/>
      <c r="H10" s="546"/>
      <c r="I10" s="546"/>
      <c r="J10" s="546"/>
      <c r="K10" s="546"/>
      <c r="L10" s="546"/>
      <c r="M10" s="546"/>
      <c r="N10" s="546"/>
      <c r="O10" s="546"/>
      <c r="P10" s="546"/>
      <c r="Q10" s="546"/>
      <c r="R10" s="546"/>
      <c r="S10" s="546"/>
      <c r="T10" s="546"/>
      <c r="U10" s="546"/>
      <c r="V10" s="546"/>
      <c r="W10" s="546"/>
      <c r="X10" s="546"/>
      <c r="Y10" s="546"/>
      <c r="Z10" s="546"/>
      <c r="AA10" s="546"/>
    </row>
    <row r="11" spans="1:28" x14ac:dyDescent="0.25">
      <c r="A11" s="548">
        <v>1.3</v>
      </c>
      <c r="B11" s="568" t="s">
        <v>667</v>
      </c>
      <c r="C11" s="561">
        <v>0</v>
      </c>
      <c r="D11" s="546"/>
      <c r="E11" s="546"/>
      <c r="F11" s="546"/>
      <c r="G11" s="546"/>
      <c r="H11" s="546"/>
      <c r="I11" s="546"/>
      <c r="J11" s="546"/>
      <c r="K11" s="546"/>
      <c r="L11" s="546"/>
      <c r="M11" s="546"/>
      <c r="N11" s="546"/>
      <c r="O11" s="546"/>
      <c r="P11" s="546"/>
      <c r="Q11" s="546"/>
      <c r="R11" s="546"/>
      <c r="S11" s="546"/>
      <c r="T11" s="546"/>
      <c r="U11" s="546"/>
      <c r="V11" s="546"/>
      <c r="W11" s="546"/>
      <c r="X11" s="546"/>
      <c r="Y11" s="546"/>
      <c r="Z11" s="546"/>
      <c r="AA11" s="546"/>
    </row>
    <row r="12" spans="1:28" x14ac:dyDescent="0.25">
      <c r="A12" s="548">
        <v>1.4</v>
      </c>
      <c r="B12" s="568" t="s">
        <v>668</v>
      </c>
      <c r="C12" s="561">
        <v>0</v>
      </c>
      <c r="D12" s="546"/>
      <c r="E12" s="546"/>
      <c r="F12" s="546"/>
      <c r="G12" s="546"/>
      <c r="H12" s="546"/>
      <c r="I12" s="546"/>
      <c r="J12" s="546"/>
      <c r="K12" s="546"/>
      <c r="L12" s="546"/>
      <c r="M12" s="546"/>
      <c r="N12" s="546"/>
      <c r="O12" s="546"/>
      <c r="P12" s="546"/>
      <c r="Q12" s="546"/>
      <c r="R12" s="546"/>
      <c r="S12" s="546"/>
      <c r="T12" s="546"/>
      <c r="U12" s="546"/>
      <c r="V12" s="546"/>
      <c r="W12" s="546"/>
      <c r="X12" s="546"/>
      <c r="Y12" s="546"/>
      <c r="Z12" s="546"/>
      <c r="AA12" s="546"/>
    </row>
    <row r="13" spans="1:28" x14ac:dyDescent="0.25">
      <c r="A13" s="548">
        <v>1.5</v>
      </c>
      <c r="B13" s="568" t="s">
        <v>669</v>
      </c>
      <c r="C13" s="546">
        <v>14262625.83</v>
      </c>
      <c r="D13" s="546">
        <v>13138533.07</v>
      </c>
      <c r="E13" s="546">
        <v>0</v>
      </c>
      <c r="F13" s="546">
        <v>0</v>
      </c>
      <c r="G13" s="546">
        <v>0</v>
      </c>
      <c r="H13" s="546">
        <v>65560.100000000006</v>
      </c>
      <c r="I13" s="546">
        <v>0</v>
      </c>
      <c r="J13" s="546">
        <v>65560.100000000006</v>
      </c>
      <c r="K13" s="546">
        <v>0</v>
      </c>
      <c r="L13" s="546">
        <v>1058532.6599999999</v>
      </c>
      <c r="M13" s="546">
        <v>0</v>
      </c>
      <c r="N13" s="546">
        <v>0</v>
      </c>
      <c r="O13" s="546">
        <v>0</v>
      </c>
      <c r="P13" s="546">
        <v>0</v>
      </c>
      <c r="Q13" s="546">
        <v>0</v>
      </c>
      <c r="R13" s="546">
        <v>1058532.6599999999</v>
      </c>
      <c r="S13" s="546">
        <v>0</v>
      </c>
      <c r="T13" s="546"/>
      <c r="U13" s="546"/>
      <c r="V13" s="546"/>
      <c r="W13" s="546"/>
      <c r="X13" s="546"/>
      <c r="Y13" s="546"/>
      <c r="Z13" s="546"/>
      <c r="AA13" s="546"/>
    </row>
    <row r="14" spans="1:28" x14ac:dyDescent="0.25">
      <c r="A14" s="548">
        <v>1.6</v>
      </c>
      <c r="B14" s="568" t="s">
        <v>670</v>
      </c>
      <c r="C14" s="546">
        <v>7903584.3235666463</v>
      </c>
      <c r="D14" s="546">
        <v>7484135.0335666463</v>
      </c>
      <c r="E14" s="546">
        <v>203640.06000000006</v>
      </c>
      <c r="F14" s="546">
        <v>0</v>
      </c>
      <c r="G14" s="546">
        <v>0</v>
      </c>
      <c r="H14" s="546">
        <v>230610.35</v>
      </c>
      <c r="I14" s="546">
        <v>488.15000000000009</v>
      </c>
      <c r="J14" s="546">
        <v>51794.209999999992</v>
      </c>
      <c r="K14" s="546">
        <v>0</v>
      </c>
      <c r="L14" s="546">
        <v>188838.94</v>
      </c>
      <c r="M14" s="546">
        <v>39940.61</v>
      </c>
      <c r="N14" s="546">
        <v>4012.1800000000003</v>
      </c>
      <c r="O14" s="546">
        <v>2531.92</v>
      </c>
      <c r="P14" s="546">
        <v>29297.88</v>
      </c>
      <c r="Q14" s="546">
        <v>0</v>
      </c>
      <c r="R14" s="546">
        <v>0</v>
      </c>
      <c r="S14" s="546">
        <v>0</v>
      </c>
      <c r="T14" s="546"/>
      <c r="U14" s="546"/>
      <c r="V14" s="546"/>
      <c r="W14" s="546"/>
      <c r="X14" s="546"/>
      <c r="Y14" s="546"/>
      <c r="Z14" s="546"/>
      <c r="AA14" s="546"/>
    </row>
    <row r="15" spans="1:28" x14ac:dyDescent="0.25">
      <c r="A15" s="586">
        <v>2</v>
      </c>
      <c r="B15" s="553" t="s">
        <v>104</v>
      </c>
      <c r="C15" s="561">
        <f>C17</f>
        <v>25088731.41</v>
      </c>
      <c r="D15" s="561">
        <f>D17</f>
        <v>25088731.41</v>
      </c>
      <c r="E15" s="546"/>
      <c r="F15" s="546"/>
      <c r="G15" s="546"/>
      <c r="H15" s="546"/>
      <c r="I15" s="546"/>
      <c r="J15" s="546"/>
      <c r="K15" s="546"/>
      <c r="L15" s="546"/>
      <c r="M15" s="546"/>
      <c r="N15" s="546"/>
      <c r="O15" s="546"/>
      <c r="P15" s="546"/>
      <c r="Q15" s="546"/>
      <c r="R15" s="546"/>
      <c r="S15" s="546"/>
      <c r="T15" s="546"/>
      <c r="U15" s="546"/>
      <c r="V15" s="546"/>
      <c r="W15" s="546"/>
      <c r="X15" s="546"/>
      <c r="Y15" s="546"/>
      <c r="Z15" s="546"/>
      <c r="AA15" s="546"/>
    </row>
    <row r="16" spans="1:28" x14ac:dyDescent="0.25">
      <c r="A16" s="548">
        <v>2.1</v>
      </c>
      <c r="B16" s="568" t="s">
        <v>665</v>
      </c>
      <c r="C16" s="842"/>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row>
    <row r="17" spans="1:27" x14ac:dyDescent="0.25">
      <c r="A17" s="548">
        <v>2.2000000000000002</v>
      </c>
      <c r="B17" s="568" t="s">
        <v>666</v>
      </c>
      <c r="C17" s="667">
        <v>25088731.41</v>
      </c>
      <c r="D17" s="547">
        <v>25088731.41</v>
      </c>
      <c r="E17" s="546"/>
      <c r="F17" s="546"/>
      <c r="G17" s="546"/>
      <c r="H17" s="546"/>
      <c r="I17" s="546"/>
      <c r="J17" s="546"/>
      <c r="K17" s="546"/>
      <c r="L17" s="546"/>
      <c r="M17" s="546"/>
      <c r="N17" s="546"/>
      <c r="O17" s="546"/>
      <c r="P17" s="546"/>
      <c r="Q17" s="546"/>
      <c r="R17" s="546"/>
      <c r="S17" s="546"/>
      <c r="T17" s="546"/>
      <c r="U17" s="546"/>
      <c r="V17" s="546"/>
      <c r="W17" s="546"/>
      <c r="X17" s="546"/>
      <c r="Y17" s="546"/>
      <c r="Z17" s="546"/>
      <c r="AA17" s="546"/>
    </row>
    <row r="18" spans="1:27" x14ac:dyDescent="0.25">
      <c r="A18" s="548">
        <v>2.2999999999999998</v>
      </c>
      <c r="B18" s="568" t="s">
        <v>667</v>
      </c>
      <c r="C18" s="842"/>
      <c r="D18" s="546"/>
      <c r="E18" s="546"/>
      <c r="F18" s="546"/>
      <c r="G18" s="546"/>
      <c r="H18" s="546"/>
      <c r="I18" s="546"/>
      <c r="J18" s="546"/>
      <c r="K18" s="546"/>
      <c r="L18" s="546"/>
      <c r="M18" s="546"/>
      <c r="N18" s="546"/>
      <c r="O18" s="546"/>
      <c r="P18" s="546"/>
      <c r="Q18" s="546"/>
      <c r="R18" s="546"/>
      <c r="S18" s="546"/>
      <c r="T18" s="546"/>
      <c r="U18" s="546"/>
      <c r="V18" s="546"/>
      <c r="W18" s="546"/>
      <c r="X18" s="546"/>
      <c r="Y18" s="546"/>
      <c r="Z18" s="546"/>
      <c r="AA18" s="546"/>
    </row>
    <row r="19" spans="1:27" x14ac:dyDescent="0.25">
      <c r="A19" s="548">
        <v>2.4</v>
      </c>
      <c r="B19" s="568" t="s">
        <v>668</v>
      </c>
      <c r="C19" s="842"/>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row>
    <row r="20" spans="1:27" x14ac:dyDescent="0.25">
      <c r="A20" s="548">
        <v>2.5</v>
      </c>
      <c r="B20" s="568" t="s">
        <v>669</v>
      </c>
      <c r="C20" s="842"/>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row>
    <row r="21" spans="1:27" x14ac:dyDescent="0.25">
      <c r="A21" s="548">
        <v>2.6</v>
      </c>
      <c r="B21" s="568" t="s">
        <v>670</v>
      </c>
      <c r="C21" s="842"/>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row>
    <row r="22" spans="1:27" x14ac:dyDescent="0.25">
      <c r="A22" s="586">
        <v>3</v>
      </c>
      <c r="B22" s="553" t="s">
        <v>671</v>
      </c>
      <c r="C22" s="561">
        <f>C27+C28</f>
        <v>3041491.58</v>
      </c>
      <c r="D22" s="561">
        <f>D27+D28</f>
        <v>765277</v>
      </c>
      <c r="E22" s="843"/>
      <c r="F22" s="843"/>
      <c r="G22" s="843"/>
      <c r="H22" s="561"/>
      <c r="I22" s="843"/>
      <c r="J22" s="843"/>
      <c r="K22" s="843"/>
      <c r="L22" s="561"/>
      <c r="M22" s="843"/>
      <c r="N22" s="843"/>
      <c r="O22" s="843"/>
      <c r="P22" s="843"/>
      <c r="Q22" s="843"/>
      <c r="R22" s="843"/>
      <c r="S22" s="843"/>
      <c r="T22" s="561"/>
      <c r="U22" s="843"/>
      <c r="V22" s="843"/>
      <c r="W22" s="843"/>
      <c r="X22" s="843"/>
      <c r="Y22" s="843"/>
      <c r="Z22" s="843"/>
      <c r="AA22" s="843"/>
    </row>
    <row r="23" spans="1:27" x14ac:dyDescent="0.25">
      <c r="A23" s="548">
        <v>3.1</v>
      </c>
      <c r="B23" s="568" t="s">
        <v>665</v>
      </c>
      <c r="C23" s="842"/>
      <c r="D23" s="561"/>
      <c r="E23" s="843"/>
      <c r="F23" s="843"/>
      <c r="G23" s="843"/>
      <c r="H23" s="561"/>
      <c r="I23" s="843"/>
      <c r="J23" s="843"/>
      <c r="K23" s="843"/>
      <c r="L23" s="561"/>
      <c r="M23" s="843"/>
      <c r="N23" s="843"/>
      <c r="O23" s="843"/>
      <c r="P23" s="843"/>
      <c r="Q23" s="843"/>
      <c r="R23" s="843"/>
      <c r="S23" s="843"/>
      <c r="T23" s="561"/>
      <c r="U23" s="843"/>
      <c r="V23" s="843"/>
      <c r="W23" s="843"/>
      <c r="X23" s="843"/>
      <c r="Y23" s="843"/>
      <c r="Z23" s="843"/>
      <c r="AA23" s="843"/>
    </row>
    <row r="24" spans="1:27" x14ac:dyDescent="0.25">
      <c r="A24" s="548">
        <v>3.2</v>
      </c>
      <c r="B24" s="568" t="s">
        <v>666</v>
      </c>
      <c r="C24" s="842"/>
      <c r="D24" s="561"/>
      <c r="E24" s="843"/>
      <c r="F24" s="843"/>
      <c r="G24" s="843"/>
      <c r="H24" s="561"/>
      <c r="I24" s="843"/>
      <c r="J24" s="843"/>
      <c r="K24" s="843"/>
      <c r="L24" s="561"/>
      <c r="M24" s="843"/>
      <c r="N24" s="843"/>
      <c r="O24" s="843"/>
      <c r="P24" s="843"/>
      <c r="Q24" s="843"/>
      <c r="R24" s="843"/>
      <c r="S24" s="843"/>
      <c r="T24" s="561"/>
      <c r="U24" s="843"/>
      <c r="V24" s="843"/>
      <c r="W24" s="843"/>
      <c r="X24" s="843"/>
      <c r="Y24" s="843"/>
      <c r="Z24" s="843"/>
      <c r="AA24" s="843"/>
    </row>
    <row r="25" spans="1:27" x14ac:dyDescent="0.25">
      <c r="A25" s="548">
        <v>3.3</v>
      </c>
      <c r="B25" s="568" t="s">
        <v>667</v>
      </c>
      <c r="C25" s="842"/>
      <c r="D25" s="561"/>
      <c r="E25" s="843"/>
      <c r="F25" s="843"/>
      <c r="G25" s="843"/>
      <c r="H25" s="561"/>
      <c r="I25" s="843"/>
      <c r="J25" s="843"/>
      <c r="K25" s="843"/>
      <c r="L25" s="561"/>
      <c r="M25" s="843"/>
      <c r="N25" s="843"/>
      <c r="O25" s="843"/>
      <c r="P25" s="843"/>
      <c r="Q25" s="843"/>
      <c r="R25" s="843"/>
      <c r="S25" s="843"/>
      <c r="T25" s="561"/>
      <c r="U25" s="843"/>
      <c r="V25" s="843"/>
      <c r="W25" s="843"/>
      <c r="X25" s="843"/>
      <c r="Y25" s="843"/>
      <c r="Z25" s="843"/>
      <c r="AA25" s="843"/>
    </row>
    <row r="26" spans="1:27" x14ac:dyDescent="0.25">
      <c r="A26" s="548">
        <v>3.4</v>
      </c>
      <c r="B26" s="568" t="s">
        <v>668</v>
      </c>
      <c r="C26" s="842"/>
      <c r="D26" s="561"/>
      <c r="E26" s="843"/>
      <c r="F26" s="843"/>
      <c r="G26" s="843"/>
      <c r="H26" s="561"/>
      <c r="I26" s="843"/>
      <c r="J26" s="843"/>
      <c r="K26" s="843"/>
      <c r="L26" s="561"/>
      <c r="M26" s="843"/>
      <c r="N26" s="843"/>
      <c r="O26" s="843"/>
      <c r="P26" s="843"/>
      <c r="Q26" s="843"/>
      <c r="R26" s="843"/>
      <c r="S26" s="843"/>
      <c r="T26" s="561"/>
      <c r="U26" s="843"/>
      <c r="V26" s="843"/>
      <c r="W26" s="843"/>
      <c r="X26" s="843"/>
      <c r="Y26" s="843"/>
      <c r="Z26" s="843"/>
      <c r="AA26" s="843"/>
    </row>
    <row r="27" spans="1:27" x14ac:dyDescent="0.25">
      <c r="A27" s="548">
        <v>3.5</v>
      </c>
      <c r="B27" s="568" t="s">
        <v>669</v>
      </c>
      <c r="C27" s="667">
        <v>765277</v>
      </c>
      <c r="D27" s="547">
        <v>765277</v>
      </c>
      <c r="E27" s="843"/>
      <c r="F27" s="843"/>
      <c r="G27" s="843"/>
      <c r="H27" s="561"/>
      <c r="I27" s="843"/>
      <c r="J27" s="843"/>
      <c r="K27" s="843"/>
      <c r="L27" s="561"/>
      <c r="M27" s="843"/>
      <c r="N27" s="843"/>
      <c r="O27" s="843"/>
      <c r="P27" s="843"/>
      <c r="Q27" s="843"/>
      <c r="R27" s="843"/>
      <c r="S27" s="843"/>
      <c r="T27" s="561"/>
      <c r="U27" s="843"/>
      <c r="V27" s="843"/>
      <c r="W27" s="843"/>
      <c r="X27" s="843"/>
      <c r="Y27" s="843"/>
      <c r="Z27" s="843"/>
      <c r="AA27" s="843"/>
    </row>
    <row r="28" spans="1:27" x14ac:dyDescent="0.25">
      <c r="A28" s="548">
        <v>3.6</v>
      </c>
      <c r="B28" s="568" t="s">
        <v>670</v>
      </c>
      <c r="C28" s="667">
        <v>2276214.58</v>
      </c>
      <c r="D28" s="842"/>
      <c r="E28" s="843"/>
      <c r="F28" s="843"/>
      <c r="G28" s="843"/>
      <c r="H28" s="561"/>
      <c r="I28" s="843"/>
      <c r="J28" s="843"/>
      <c r="K28" s="843"/>
      <c r="L28" s="561"/>
      <c r="M28" s="843"/>
      <c r="N28" s="843"/>
      <c r="O28" s="843"/>
      <c r="P28" s="843"/>
      <c r="Q28" s="843"/>
      <c r="R28" s="843"/>
      <c r="S28" s="843"/>
      <c r="T28" s="561"/>
      <c r="U28" s="843"/>
      <c r="V28" s="843"/>
      <c r="W28" s="843"/>
      <c r="X28" s="843"/>
      <c r="Y28" s="843"/>
      <c r="Z28" s="843"/>
      <c r="AA28" s="843"/>
    </row>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49DB-00B3-4744-8C91-5CC0653A1D2F}">
  <dimension ref="A1:AB22"/>
  <sheetViews>
    <sheetView showGridLines="0" zoomScaleNormal="100" workbookViewId="0">
      <selection activeCell="E30" sqref="E30"/>
    </sheetView>
  </sheetViews>
  <sheetFormatPr defaultColWidth="9.140625" defaultRowHeight="12.75" x14ac:dyDescent="0.25"/>
  <cols>
    <col min="1" max="1" width="11.85546875" style="539" bestFit="1" customWidth="1"/>
    <col min="2" max="2" width="90.28515625" style="539" bestFit="1" customWidth="1"/>
    <col min="3" max="3" width="20.140625" style="539" customWidth="1"/>
    <col min="4" max="4" width="22.28515625" style="539" customWidth="1"/>
    <col min="5" max="6" width="17.140625" style="539" customWidth="1"/>
    <col min="7" max="7" width="14.7109375" style="539" customWidth="1"/>
    <col min="8" max="8" width="16.42578125" style="539" customWidth="1"/>
    <col min="9" max="10" width="17.140625" style="539" customWidth="1"/>
    <col min="11" max="11" width="20.5703125" style="539" customWidth="1"/>
    <col min="12" max="12" width="22.28515625" style="539" customWidth="1"/>
    <col min="13" max="13" width="18.42578125" style="539" customWidth="1"/>
    <col min="14" max="18" width="22.28515625" style="539" customWidth="1"/>
    <col min="19" max="19" width="19.140625" style="539" customWidth="1"/>
    <col min="20" max="20" width="12.5703125" style="539" customWidth="1"/>
    <col min="21" max="21" width="15.42578125" style="539" customWidth="1"/>
    <col min="22" max="22" width="16.5703125" style="539" customWidth="1"/>
    <col min="23" max="23" width="12.42578125" style="539" customWidth="1"/>
    <col min="24" max="24" width="13.85546875" style="539" customWidth="1"/>
    <col min="25" max="25" width="14.140625" style="539" customWidth="1"/>
    <col min="26" max="26" width="16" style="539" customWidth="1"/>
    <col min="27" max="27" width="16.42578125" style="539" customWidth="1"/>
    <col min="28" max="28" width="12.140625" style="539" bestFit="1" customWidth="1"/>
    <col min="29" max="16384" width="9.140625" style="539"/>
  </cols>
  <sheetData>
    <row r="1" spans="1:28" ht="13.5" x14ac:dyDescent="0.25">
      <c r="A1" s="520" t="s">
        <v>41</v>
      </c>
      <c r="B1" s="21" t="str">
        <f>Info!C2</f>
        <v>სს სილქ ბანკი</v>
      </c>
    </row>
    <row r="2" spans="1:28" x14ac:dyDescent="0.25">
      <c r="A2" s="520" t="s">
        <v>42</v>
      </c>
      <c r="B2" s="522">
        <f>'1. key ratios'!B2</f>
        <v>45107</v>
      </c>
    </row>
    <row r="3" spans="1:28" x14ac:dyDescent="0.25">
      <c r="A3" s="523" t="s">
        <v>672</v>
      </c>
      <c r="C3" s="587"/>
    </row>
    <row r="4" spans="1:28" ht="13.5" thickBot="1" x14ac:dyDescent="0.3">
      <c r="A4" s="523"/>
      <c r="B4" s="587"/>
      <c r="C4" s="587"/>
    </row>
    <row r="5" spans="1:28" ht="13.5" customHeight="1" x14ac:dyDescent="0.25">
      <c r="A5" s="811" t="s">
        <v>673</v>
      </c>
      <c r="B5" s="812"/>
      <c r="C5" s="817" t="s">
        <v>674</v>
      </c>
      <c r="D5" s="818"/>
      <c r="E5" s="818"/>
      <c r="F5" s="818"/>
      <c r="G5" s="818"/>
      <c r="H5" s="818"/>
      <c r="I5" s="818"/>
      <c r="J5" s="818"/>
      <c r="K5" s="818"/>
      <c r="L5" s="818"/>
      <c r="M5" s="818"/>
      <c r="N5" s="818"/>
      <c r="O5" s="818"/>
      <c r="P5" s="818"/>
      <c r="Q5" s="818"/>
      <c r="R5" s="818"/>
      <c r="S5" s="818"/>
      <c r="T5" s="818"/>
      <c r="U5" s="818"/>
      <c r="V5" s="818"/>
      <c r="W5" s="818"/>
      <c r="X5" s="818"/>
      <c r="Y5" s="818"/>
      <c r="Z5" s="818"/>
      <c r="AA5" s="819"/>
    </row>
    <row r="6" spans="1:28" ht="12" customHeight="1" x14ac:dyDescent="0.25">
      <c r="A6" s="813"/>
      <c r="B6" s="814"/>
      <c r="C6" s="820" t="s">
        <v>92</v>
      </c>
      <c r="D6" s="787" t="s">
        <v>653</v>
      </c>
      <c r="E6" s="787"/>
      <c r="F6" s="787"/>
      <c r="G6" s="787"/>
      <c r="H6" s="807" t="s">
        <v>654</v>
      </c>
      <c r="I6" s="808"/>
      <c r="J6" s="808"/>
      <c r="K6" s="808"/>
      <c r="L6" s="581"/>
      <c r="M6" s="790" t="s">
        <v>655</v>
      </c>
      <c r="N6" s="790"/>
      <c r="O6" s="790"/>
      <c r="P6" s="790"/>
      <c r="Q6" s="790"/>
      <c r="R6" s="790"/>
      <c r="S6" s="786"/>
      <c r="T6" s="581"/>
      <c r="U6" s="790" t="s">
        <v>656</v>
      </c>
      <c r="V6" s="790"/>
      <c r="W6" s="790"/>
      <c r="X6" s="790"/>
      <c r="Y6" s="790"/>
      <c r="Z6" s="790"/>
      <c r="AA6" s="822"/>
    </row>
    <row r="7" spans="1:28" ht="51" x14ac:dyDescent="0.25">
      <c r="A7" s="815"/>
      <c r="B7" s="816"/>
      <c r="C7" s="821"/>
      <c r="D7" s="584"/>
      <c r="E7" s="542" t="s">
        <v>657</v>
      </c>
      <c r="F7" s="542" t="s">
        <v>658</v>
      </c>
      <c r="G7" s="542" t="s">
        <v>659</v>
      </c>
      <c r="H7" s="540"/>
      <c r="I7" s="542" t="s">
        <v>657</v>
      </c>
      <c r="J7" s="542" t="s">
        <v>658</v>
      </c>
      <c r="K7" s="542" t="s">
        <v>659</v>
      </c>
      <c r="L7" s="544"/>
      <c r="M7" s="542" t="s">
        <v>657</v>
      </c>
      <c r="N7" s="542" t="s">
        <v>675</v>
      </c>
      <c r="O7" s="542" t="s">
        <v>676</v>
      </c>
      <c r="P7" s="542" t="s">
        <v>677</v>
      </c>
      <c r="Q7" s="542" t="s">
        <v>678</v>
      </c>
      <c r="R7" s="542" t="s">
        <v>679</v>
      </c>
      <c r="S7" s="542" t="s">
        <v>664</v>
      </c>
      <c r="T7" s="544"/>
      <c r="U7" s="542" t="s">
        <v>657</v>
      </c>
      <c r="V7" s="542" t="s">
        <v>675</v>
      </c>
      <c r="W7" s="542" t="s">
        <v>676</v>
      </c>
      <c r="X7" s="542" t="s">
        <v>677</v>
      </c>
      <c r="Y7" s="542" t="s">
        <v>678</v>
      </c>
      <c r="Z7" s="542" t="s">
        <v>679</v>
      </c>
      <c r="AA7" s="542" t="s">
        <v>664</v>
      </c>
    </row>
    <row r="8" spans="1:28" x14ac:dyDescent="0.25">
      <c r="A8" s="588">
        <v>1</v>
      </c>
      <c r="B8" s="589" t="s">
        <v>623</v>
      </c>
      <c r="C8" s="590">
        <v>22166210.153566647</v>
      </c>
      <c r="D8" s="590">
        <v>20622668.103566647</v>
      </c>
      <c r="E8" s="590">
        <v>203640.06000000006</v>
      </c>
      <c r="F8" s="590">
        <v>0</v>
      </c>
      <c r="G8" s="590">
        <v>0</v>
      </c>
      <c r="H8" s="590">
        <v>296170.45</v>
      </c>
      <c r="I8" s="590">
        <v>488.15000000000009</v>
      </c>
      <c r="J8" s="590">
        <v>117354.31</v>
      </c>
      <c r="K8" s="590">
        <v>0</v>
      </c>
      <c r="L8" s="590">
        <v>1247371.5999999999</v>
      </c>
      <c r="M8" s="590">
        <v>39940.61</v>
      </c>
      <c r="N8" s="590">
        <v>4012.1800000000003</v>
      </c>
      <c r="O8" s="590">
        <v>2531.92</v>
      </c>
      <c r="P8" s="590">
        <v>29297.88</v>
      </c>
      <c r="Q8" s="590">
        <v>0</v>
      </c>
      <c r="R8" s="590">
        <v>1058532.6599999999</v>
      </c>
      <c r="S8" s="590">
        <v>0</v>
      </c>
      <c r="T8" s="548"/>
      <c r="U8" s="548"/>
      <c r="V8" s="548"/>
      <c r="W8" s="548"/>
      <c r="X8" s="548"/>
      <c r="Y8" s="548"/>
      <c r="Z8" s="548"/>
      <c r="AA8" s="591"/>
      <c r="AB8" s="656"/>
    </row>
    <row r="9" spans="1:28" x14ac:dyDescent="0.25">
      <c r="A9" s="592">
        <v>1.1000000000000001</v>
      </c>
      <c r="B9" s="670" t="s">
        <v>680</v>
      </c>
      <c r="C9" s="669">
        <v>17393486.94356665</v>
      </c>
      <c r="D9" s="547">
        <v>16197015.543566644</v>
      </c>
      <c r="E9" s="547">
        <v>34852.15</v>
      </c>
      <c r="F9" s="547">
        <v>0</v>
      </c>
      <c r="G9" s="547">
        <v>0</v>
      </c>
      <c r="H9" s="547">
        <v>66414.58</v>
      </c>
      <c r="I9" s="547">
        <v>0</v>
      </c>
      <c r="J9" s="547">
        <v>65560.100000000006</v>
      </c>
      <c r="K9" s="547">
        <v>0</v>
      </c>
      <c r="L9" s="547">
        <v>1130056.8199999998</v>
      </c>
      <c r="M9" s="547">
        <v>0</v>
      </c>
      <c r="N9" s="547">
        <v>0</v>
      </c>
      <c r="O9" s="547">
        <v>0</v>
      </c>
      <c r="P9" s="547">
        <v>0</v>
      </c>
      <c r="Q9" s="547">
        <v>0</v>
      </c>
      <c r="R9" s="547">
        <v>1058532.6599999999</v>
      </c>
      <c r="S9" s="547">
        <v>0</v>
      </c>
      <c r="T9" s="548"/>
      <c r="U9" s="548"/>
      <c r="V9" s="548"/>
      <c r="W9" s="548"/>
      <c r="X9" s="548"/>
      <c r="Y9" s="548"/>
      <c r="Z9" s="548"/>
      <c r="AA9" s="591"/>
      <c r="AB9" s="656"/>
    </row>
    <row r="10" spans="1:28" x14ac:dyDescent="0.25">
      <c r="A10" s="671" t="s">
        <v>237</v>
      </c>
      <c r="B10" s="672" t="s">
        <v>681</v>
      </c>
      <c r="C10" s="673">
        <v>17084787.483566646</v>
      </c>
      <c r="D10" s="547">
        <v>15889170.563566644</v>
      </c>
      <c r="E10" s="547">
        <v>34852.15</v>
      </c>
      <c r="F10" s="547">
        <v>0</v>
      </c>
      <c r="G10" s="547">
        <v>0</v>
      </c>
      <c r="H10" s="547">
        <v>65560.100000000006</v>
      </c>
      <c r="I10" s="547">
        <v>0</v>
      </c>
      <c r="J10" s="547">
        <v>65560.100000000006</v>
      </c>
      <c r="K10" s="547">
        <v>0</v>
      </c>
      <c r="L10" s="547">
        <v>1130056.8199999998</v>
      </c>
      <c r="M10" s="547">
        <v>0</v>
      </c>
      <c r="N10" s="547">
        <v>0</v>
      </c>
      <c r="O10" s="547">
        <v>0</v>
      </c>
      <c r="P10" s="547">
        <v>0</v>
      </c>
      <c r="Q10" s="547">
        <v>0</v>
      </c>
      <c r="R10" s="547">
        <v>1058532.6599999999</v>
      </c>
      <c r="S10" s="547">
        <v>0</v>
      </c>
      <c r="T10" s="548"/>
      <c r="U10" s="548"/>
      <c r="V10" s="548"/>
      <c r="W10" s="548"/>
      <c r="X10" s="548"/>
      <c r="Y10" s="548"/>
      <c r="Z10" s="548"/>
      <c r="AA10" s="591"/>
      <c r="AB10" s="656"/>
    </row>
    <row r="11" spans="1:28" x14ac:dyDescent="0.25">
      <c r="A11" s="674" t="s">
        <v>682</v>
      </c>
      <c r="B11" s="675" t="s">
        <v>683</v>
      </c>
      <c r="C11" s="676">
        <v>13458124.863566643</v>
      </c>
      <c r="D11" s="547">
        <v>12262507.943566643</v>
      </c>
      <c r="E11" s="547">
        <v>34852.15</v>
      </c>
      <c r="F11" s="547">
        <v>0</v>
      </c>
      <c r="G11" s="547">
        <v>0</v>
      </c>
      <c r="H11" s="547">
        <v>65560.100000000006</v>
      </c>
      <c r="I11" s="547">
        <v>0</v>
      </c>
      <c r="J11" s="547">
        <v>65560.100000000006</v>
      </c>
      <c r="K11" s="547">
        <v>0</v>
      </c>
      <c r="L11" s="547">
        <v>1130056.8199999998</v>
      </c>
      <c r="M11" s="547">
        <v>0</v>
      </c>
      <c r="N11" s="547">
        <v>0</v>
      </c>
      <c r="O11" s="547">
        <v>0</v>
      </c>
      <c r="P11" s="547">
        <v>0</v>
      </c>
      <c r="Q11" s="547">
        <v>0</v>
      </c>
      <c r="R11" s="547">
        <v>1058532.6599999999</v>
      </c>
      <c r="S11" s="547">
        <v>0</v>
      </c>
      <c r="T11" s="548"/>
      <c r="U11" s="548"/>
      <c r="V11" s="548"/>
      <c r="W11" s="548"/>
      <c r="X11" s="548"/>
      <c r="Y11" s="548"/>
      <c r="Z11" s="548"/>
      <c r="AA11" s="591"/>
      <c r="AB11" s="656"/>
    </row>
    <row r="12" spans="1:28" x14ac:dyDescent="0.25">
      <c r="A12" s="674" t="s">
        <v>684</v>
      </c>
      <c r="B12" s="675" t="s">
        <v>685</v>
      </c>
      <c r="C12" s="676">
        <v>1708760.1700000002</v>
      </c>
      <c r="D12" s="547">
        <v>1708760.1700000002</v>
      </c>
      <c r="E12" s="547">
        <v>0</v>
      </c>
      <c r="F12" s="547">
        <v>0</v>
      </c>
      <c r="G12" s="547">
        <v>0</v>
      </c>
      <c r="H12" s="547">
        <v>0</v>
      </c>
      <c r="I12" s="547">
        <v>0</v>
      </c>
      <c r="J12" s="547">
        <v>0</v>
      </c>
      <c r="K12" s="547">
        <v>0</v>
      </c>
      <c r="L12" s="547">
        <v>0</v>
      </c>
      <c r="M12" s="547">
        <v>0</v>
      </c>
      <c r="N12" s="547">
        <v>0</v>
      </c>
      <c r="O12" s="547">
        <v>0</v>
      </c>
      <c r="P12" s="547">
        <v>0</v>
      </c>
      <c r="Q12" s="547">
        <v>0</v>
      </c>
      <c r="R12" s="547">
        <v>0</v>
      </c>
      <c r="S12" s="547">
        <v>0</v>
      </c>
      <c r="T12" s="548"/>
      <c r="U12" s="548"/>
      <c r="V12" s="548"/>
      <c r="W12" s="548"/>
      <c r="X12" s="548"/>
      <c r="Y12" s="548"/>
      <c r="Z12" s="548"/>
      <c r="AA12" s="591"/>
      <c r="AB12" s="656"/>
    </row>
    <row r="13" spans="1:28" x14ac:dyDescent="0.25">
      <c r="A13" s="674" t="s">
        <v>686</v>
      </c>
      <c r="B13" s="675" t="s">
        <v>687</v>
      </c>
      <c r="C13" s="676">
        <v>1917902.4500000002</v>
      </c>
      <c r="D13" s="547">
        <v>1917902.4500000002</v>
      </c>
      <c r="E13" s="547">
        <v>0</v>
      </c>
      <c r="F13" s="547">
        <v>0</v>
      </c>
      <c r="G13" s="547">
        <v>0</v>
      </c>
      <c r="H13" s="547">
        <v>0</v>
      </c>
      <c r="I13" s="547">
        <v>0</v>
      </c>
      <c r="J13" s="547">
        <v>0</v>
      </c>
      <c r="K13" s="547">
        <v>0</v>
      </c>
      <c r="L13" s="547">
        <v>0</v>
      </c>
      <c r="M13" s="547">
        <v>0</v>
      </c>
      <c r="N13" s="547">
        <v>0</v>
      </c>
      <c r="O13" s="547">
        <v>0</v>
      </c>
      <c r="P13" s="547">
        <v>0</v>
      </c>
      <c r="Q13" s="547">
        <v>0</v>
      </c>
      <c r="R13" s="547">
        <v>0</v>
      </c>
      <c r="S13" s="547">
        <v>0</v>
      </c>
      <c r="T13" s="548"/>
      <c r="U13" s="548"/>
      <c r="V13" s="548"/>
      <c r="W13" s="548"/>
      <c r="X13" s="548"/>
      <c r="Y13" s="548"/>
      <c r="Z13" s="548"/>
      <c r="AA13" s="591"/>
      <c r="AB13" s="656"/>
    </row>
    <row r="14" spans="1:28" x14ac:dyDescent="0.25">
      <c r="A14" s="674" t="s">
        <v>688</v>
      </c>
      <c r="B14" s="675" t="s">
        <v>689</v>
      </c>
      <c r="C14" s="676">
        <v>0</v>
      </c>
      <c r="D14" s="547">
        <v>0</v>
      </c>
      <c r="E14" s="547">
        <v>0</v>
      </c>
      <c r="F14" s="547">
        <v>0</v>
      </c>
      <c r="G14" s="547">
        <v>0</v>
      </c>
      <c r="H14" s="547">
        <v>0</v>
      </c>
      <c r="I14" s="547">
        <v>0</v>
      </c>
      <c r="J14" s="547">
        <v>0</v>
      </c>
      <c r="K14" s="547">
        <v>0</v>
      </c>
      <c r="L14" s="547">
        <v>0</v>
      </c>
      <c r="M14" s="547">
        <v>0</v>
      </c>
      <c r="N14" s="547">
        <v>0</v>
      </c>
      <c r="O14" s="547">
        <v>0</v>
      </c>
      <c r="P14" s="547">
        <v>0</v>
      </c>
      <c r="Q14" s="547">
        <v>0</v>
      </c>
      <c r="R14" s="547">
        <v>0</v>
      </c>
      <c r="S14" s="547">
        <v>0</v>
      </c>
      <c r="T14" s="548"/>
      <c r="U14" s="548"/>
      <c r="V14" s="548"/>
      <c r="W14" s="548"/>
      <c r="X14" s="548"/>
      <c r="Y14" s="548"/>
      <c r="Z14" s="548"/>
      <c r="AA14" s="591"/>
      <c r="AB14" s="656"/>
    </row>
    <row r="15" spans="1:28" x14ac:dyDescent="0.25">
      <c r="A15" s="668">
        <v>1.2</v>
      </c>
      <c r="B15" s="593" t="s">
        <v>690</v>
      </c>
      <c r="C15" s="669">
        <v>798511.2555896074</v>
      </c>
      <c r="D15" s="547">
        <v>378701.12228887127</v>
      </c>
      <c r="E15" s="547">
        <v>1758.6238771306168</v>
      </c>
      <c r="F15" s="547">
        <v>0</v>
      </c>
      <c r="G15" s="547">
        <v>0</v>
      </c>
      <c r="H15" s="547">
        <v>25197.782847683018</v>
      </c>
      <c r="I15" s="547">
        <v>0</v>
      </c>
      <c r="J15" s="547">
        <v>25094.56706759975</v>
      </c>
      <c r="K15" s="547">
        <v>0</v>
      </c>
      <c r="L15" s="547">
        <v>394612.35045305284</v>
      </c>
      <c r="M15" s="547">
        <v>0</v>
      </c>
      <c r="N15" s="547">
        <v>0</v>
      </c>
      <c r="O15" s="547">
        <v>0</v>
      </c>
      <c r="P15" s="547">
        <v>0</v>
      </c>
      <c r="Q15" s="547">
        <v>0</v>
      </c>
      <c r="R15" s="547">
        <v>365065.72990251967</v>
      </c>
      <c r="S15" s="547">
        <v>0</v>
      </c>
      <c r="T15" s="548"/>
      <c r="U15" s="548"/>
      <c r="V15" s="548"/>
      <c r="W15" s="548"/>
      <c r="X15" s="548"/>
      <c r="Y15" s="548"/>
      <c r="Z15" s="548"/>
      <c r="AA15" s="591"/>
      <c r="AB15" s="656"/>
    </row>
    <row r="16" spans="1:28" x14ac:dyDescent="0.25">
      <c r="A16" s="592">
        <v>1.3</v>
      </c>
      <c r="B16" s="593" t="s">
        <v>691</v>
      </c>
      <c r="C16" s="594">
        <v>85801665.613108009</v>
      </c>
      <c r="D16" s="594">
        <v>77130078.613107994</v>
      </c>
      <c r="E16" s="594">
        <v>60207.1</v>
      </c>
      <c r="F16" s="594">
        <v>0</v>
      </c>
      <c r="G16" s="594">
        <v>0</v>
      </c>
      <c r="H16" s="594">
        <v>5661232</v>
      </c>
      <c r="I16" s="594">
        <v>0</v>
      </c>
      <c r="J16" s="594">
        <v>5654232</v>
      </c>
      <c r="K16" s="594">
        <v>0</v>
      </c>
      <c r="L16" s="594">
        <v>3010355</v>
      </c>
      <c r="M16" s="594">
        <v>0</v>
      </c>
      <c r="N16" s="594">
        <v>0</v>
      </c>
      <c r="O16" s="594">
        <v>0</v>
      </c>
      <c r="P16" s="594">
        <v>0</v>
      </c>
      <c r="Q16" s="594">
        <v>0</v>
      </c>
      <c r="R16" s="594">
        <v>2897793.9</v>
      </c>
      <c r="S16" s="594">
        <v>0</v>
      </c>
      <c r="T16" s="595"/>
      <c r="U16" s="595"/>
      <c r="V16" s="595"/>
      <c r="W16" s="595"/>
      <c r="X16" s="595"/>
      <c r="Y16" s="595"/>
      <c r="Z16" s="595"/>
      <c r="AA16" s="596"/>
      <c r="AB16" s="656"/>
    </row>
    <row r="17" spans="1:28" ht="25.5" x14ac:dyDescent="0.25">
      <c r="A17" s="597" t="s">
        <v>692</v>
      </c>
      <c r="B17" s="598" t="s">
        <v>693</v>
      </c>
      <c r="C17" s="599">
        <v>17392913.993566643</v>
      </c>
      <c r="D17" s="546">
        <v>16196442.593566645</v>
      </c>
      <c r="E17" s="546">
        <v>34852.15</v>
      </c>
      <c r="F17" s="546">
        <v>0</v>
      </c>
      <c r="G17" s="546">
        <v>0</v>
      </c>
      <c r="H17" s="546">
        <v>66414.58</v>
      </c>
      <c r="I17" s="546">
        <v>0</v>
      </c>
      <c r="J17" s="546">
        <v>65560.100000000006</v>
      </c>
      <c r="K17" s="546">
        <v>0</v>
      </c>
      <c r="L17" s="546">
        <v>1130056.8199999998</v>
      </c>
      <c r="M17" s="546">
        <v>0</v>
      </c>
      <c r="N17" s="546">
        <v>0</v>
      </c>
      <c r="O17" s="546">
        <v>0</v>
      </c>
      <c r="P17" s="546">
        <v>0</v>
      </c>
      <c r="Q17" s="546">
        <v>0</v>
      </c>
      <c r="R17" s="546">
        <v>1058532.6599999999</v>
      </c>
      <c r="S17" s="546">
        <v>0</v>
      </c>
      <c r="T17" s="548"/>
      <c r="U17" s="548"/>
      <c r="V17" s="548"/>
      <c r="W17" s="548"/>
      <c r="X17" s="548"/>
      <c r="Y17" s="548"/>
      <c r="Z17" s="548"/>
      <c r="AA17" s="591"/>
      <c r="AB17" s="656"/>
    </row>
    <row r="18" spans="1:28" ht="25.5" x14ac:dyDescent="0.25">
      <c r="A18" s="600" t="s">
        <v>694</v>
      </c>
      <c r="B18" s="601" t="s">
        <v>695</v>
      </c>
      <c r="C18" s="599">
        <v>17084787.483566642</v>
      </c>
      <c r="D18" s="546">
        <v>15889170.563566644</v>
      </c>
      <c r="E18" s="546">
        <v>34852.15</v>
      </c>
      <c r="F18" s="546">
        <v>0</v>
      </c>
      <c r="G18" s="546">
        <v>0</v>
      </c>
      <c r="H18" s="546">
        <v>65560.100000000006</v>
      </c>
      <c r="I18" s="546">
        <v>0</v>
      </c>
      <c r="J18" s="546">
        <v>65560.100000000006</v>
      </c>
      <c r="K18" s="546">
        <v>0</v>
      </c>
      <c r="L18" s="546">
        <v>1130056.8199999998</v>
      </c>
      <c r="M18" s="546">
        <v>0</v>
      </c>
      <c r="N18" s="546">
        <v>0</v>
      </c>
      <c r="O18" s="546">
        <v>0</v>
      </c>
      <c r="P18" s="546">
        <v>0</v>
      </c>
      <c r="Q18" s="546">
        <v>0</v>
      </c>
      <c r="R18" s="546">
        <v>1058532.6599999999</v>
      </c>
      <c r="S18" s="546">
        <v>0</v>
      </c>
      <c r="T18" s="548"/>
      <c r="U18" s="548"/>
      <c r="V18" s="548"/>
      <c r="W18" s="548"/>
      <c r="X18" s="548"/>
      <c r="Y18" s="548"/>
      <c r="Z18" s="548"/>
      <c r="AA18" s="591"/>
      <c r="AB18" s="656"/>
    </row>
    <row r="19" spans="1:28" x14ac:dyDescent="0.25">
      <c r="A19" s="597" t="s">
        <v>696</v>
      </c>
      <c r="B19" s="602" t="s">
        <v>697</v>
      </c>
      <c r="C19" s="599">
        <v>68408751.619541362</v>
      </c>
      <c r="D19" s="546">
        <v>60933636.019541353</v>
      </c>
      <c r="E19" s="546">
        <v>25354.949999999997</v>
      </c>
      <c r="F19" s="546">
        <v>0</v>
      </c>
      <c r="G19" s="546">
        <v>0</v>
      </c>
      <c r="H19" s="546">
        <v>5594817.4199999999</v>
      </c>
      <c r="I19" s="546">
        <v>0</v>
      </c>
      <c r="J19" s="546">
        <v>5588671.9000000004</v>
      </c>
      <c r="K19" s="546">
        <v>0</v>
      </c>
      <c r="L19" s="546">
        <v>1880298.18</v>
      </c>
      <c r="M19" s="546">
        <v>0</v>
      </c>
      <c r="N19" s="546">
        <v>0</v>
      </c>
      <c r="O19" s="546">
        <v>0</v>
      </c>
      <c r="P19" s="546">
        <v>0</v>
      </c>
      <c r="Q19" s="546">
        <v>0</v>
      </c>
      <c r="R19" s="546">
        <v>1839261.24</v>
      </c>
      <c r="S19" s="546">
        <v>0</v>
      </c>
      <c r="T19" s="548"/>
      <c r="U19" s="548"/>
      <c r="V19" s="548"/>
      <c r="W19" s="548"/>
      <c r="X19" s="548"/>
      <c r="Y19" s="548"/>
      <c r="Z19" s="548"/>
      <c r="AA19" s="591"/>
      <c r="AB19" s="656"/>
    </row>
    <row r="20" spans="1:28" x14ac:dyDescent="0.25">
      <c r="A20" s="600" t="s">
        <v>698</v>
      </c>
      <c r="B20" s="601" t="s">
        <v>699</v>
      </c>
      <c r="C20" s="599">
        <v>17655168.699541353</v>
      </c>
      <c r="D20" s="546">
        <v>15421598.619541351</v>
      </c>
      <c r="E20" s="546">
        <v>25354.949999999997</v>
      </c>
      <c r="F20" s="546">
        <v>0</v>
      </c>
      <c r="G20" s="546">
        <v>0</v>
      </c>
      <c r="H20" s="546">
        <v>353271.9</v>
      </c>
      <c r="I20" s="546">
        <v>0</v>
      </c>
      <c r="J20" s="546">
        <v>353271.9</v>
      </c>
      <c r="K20" s="546">
        <v>0</v>
      </c>
      <c r="L20" s="546">
        <v>1880298.18</v>
      </c>
      <c r="M20" s="546">
        <v>0</v>
      </c>
      <c r="N20" s="546">
        <v>0</v>
      </c>
      <c r="O20" s="546">
        <v>0</v>
      </c>
      <c r="P20" s="546">
        <v>0</v>
      </c>
      <c r="Q20" s="546">
        <v>0</v>
      </c>
      <c r="R20" s="546">
        <v>1839261.24</v>
      </c>
      <c r="S20" s="546">
        <v>0</v>
      </c>
      <c r="T20" s="548"/>
      <c r="U20" s="548"/>
      <c r="V20" s="548"/>
      <c r="W20" s="548"/>
      <c r="X20" s="548"/>
      <c r="Y20" s="548"/>
      <c r="Z20" s="548"/>
      <c r="AA20" s="591"/>
      <c r="AB20" s="656"/>
    </row>
    <row r="21" spans="1:28" x14ac:dyDescent="0.25">
      <c r="A21" s="603">
        <v>1.4</v>
      </c>
      <c r="B21" s="604" t="s">
        <v>700</v>
      </c>
      <c r="C21" s="605"/>
      <c r="D21" s="546"/>
      <c r="E21" s="546"/>
      <c r="F21" s="546"/>
      <c r="G21" s="546"/>
      <c r="H21" s="546"/>
      <c r="I21" s="546"/>
      <c r="J21" s="546"/>
      <c r="K21" s="546"/>
      <c r="L21" s="546"/>
      <c r="M21" s="546"/>
      <c r="N21" s="546"/>
      <c r="O21" s="546"/>
      <c r="P21" s="546"/>
      <c r="Q21" s="546"/>
      <c r="R21" s="546"/>
      <c r="S21" s="546"/>
      <c r="T21" s="548"/>
      <c r="U21" s="548"/>
      <c r="V21" s="548"/>
      <c r="W21" s="548"/>
      <c r="X21" s="548"/>
      <c r="Y21" s="548"/>
      <c r="Z21" s="548"/>
      <c r="AA21" s="591"/>
      <c r="AB21" s="656"/>
    </row>
    <row r="22" spans="1:28" ht="13.5" thickBot="1" x14ac:dyDescent="0.3">
      <c r="A22" s="606">
        <v>1.5</v>
      </c>
      <c r="B22" s="607" t="s">
        <v>701</v>
      </c>
      <c r="C22" s="608"/>
      <c r="D22" s="609"/>
      <c r="E22" s="609"/>
      <c r="F22" s="609"/>
      <c r="G22" s="609"/>
      <c r="H22" s="609"/>
      <c r="I22" s="609"/>
      <c r="J22" s="609"/>
      <c r="K22" s="609"/>
      <c r="L22" s="609"/>
      <c r="M22" s="609"/>
      <c r="N22" s="609"/>
      <c r="O22" s="609"/>
      <c r="P22" s="609"/>
      <c r="Q22" s="609"/>
      <c r="R22" s="609"/>
      <c r="S22" s="609"/>
      <c r="T22" s="610"/>
      <c r="U22" s="610"/>
      <c r="V22" s="610"/>
      <c r="W22" s="610"/>
      <c r="X22" s="610"/>
      <c r="Y22" s="610"/>
      <c r="Z22" s="610"/>
      <c r="AA22" s="611"/>
      <c r="AB22" s="656"/>
    </row>
  </sheetData>
  <mergeCells count="7">
    <mergeCell ref="A5:B7"/>
    <mergeCell ref="C5:AA5"/>
    <mergeCell ref="C6:C7"/>
    <mergeCell ref="D6:G6"/>
    <mergeCell ref="H6:K6"/>
    <mergeCell ref="M6:S6"/>
    <mergeCell ref="U6:AA6"/>
  </mergeCells>
  <conditionalFormatting sqref="A5">
    <cfRule type="duplicateValues" dxfId="8" priority="1"/>
    <cfRule type="duplicateValues" dxfId="7" priority="2"/>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9D4C3-E852-4B5A-A7A4-CACE9F067CBD}">
  <dimension ref="A1:L33"/>
  <sheetViews>
    <sheetView showGridLines="0" zoomScaleNormal="100" workbookViewId="0">
      <selection activeCell="H38" sqref="H38"/>
    </sheetView>
  </sheetViews>
  <sheetFormatPr defaultColWidth="9.140625" defaultRowHeight="12.75" x14ac:dyDescent="0.25"/>
  <cols>
    <col min="1" max="1" width="11.85546875" style="539" bestFit="1" customWidth="1"/>
    <col min="2" max="2" width="93.42578125" style="539" customWidth="1"/>
    <col min="3" max="3" width="14.5703125" style="539" customWidth="1"/>
    <col min="4" max="5" width="16.140625" style="539" customWidth="1"/>
    <col min="6" max="6" width="16.140625" style="578" customWidth="1"/>
    <col min="7" max="7" width="25.28515625" style="578" customWidth="1"/>
    <col min="8" max="8" width="16.140625" style="539" customWidth="1"/>
    <col min="9" max="11" width="16.140625" style="578" customWidth="1"/>
    <col min="12" max="12" width="24.5703125" style="578" customWidth="1"/>
    <col min="13" max="16384" width="9.140625" style="539"/>
  </cols>
  <sheetData>
    <row r="1" spans="1:12" ht="13.5" x14ac:dyDescent="0.25">
      <c r="A1" s="520" t="s">
        <v>41</v>
      </c>
      <c r="B1" s="21" t="str">
        <f>Info!C2</f>
        <v>სს სილქ ბანკი</v>
      </c>
      <c r="F1" s="539"/>
      <c r="G1" s="539"/>
      <c r="I1" s="539"/>
      <c r="J1" s="539"/>
      <c r="K1" s="539"/>
      <c r="L1" s="539"/>
    </row>
    <row r="2" spans="1:12" x14ac:dyDescent="0.25">
      <c r="A2" s="520" t="s">
        <v>42</v>
      </c>
      <c r="B2" s="522">
        <f>'1. key ratios'!B2</f>
        <v>45107</v>
      </c>
      <c r="F2" s="539"/>
      <c r="G2" s="539"/>
      <c r="I2" s="539"/>
      <c r="J2" s="539"/>
      <c r="K2" s="539"/>
      <c r="L2" s="539"/>
    </row>
    <row r="3" spans="1:12" x14ac:dyDescent="0.25">
      <c r="A3" s="523" t="s">
        <v>702</v>
      </c>
      <c r="F3" s="539"/>
      <c r="G3" s="539"/>
      <c r="I3" s="539"/>
      <c r="J3" s="539"/>
      <c r="K3" s="539"/>
      <c r="L3" s="539"/>
    </row>
    <row r="4" spans="1:12" x14ac:dyDescent="0.25">
      <c r="F4" s="539"/>
      <c r="G4" s="539"/>
      <c r="I4" s="539"/>
      <c r="J4" s="539"/>
      <c r="K4" s="539"/>
      <c r="L4" s="539"/>
    </row>
    <row r="5" spans="1:12" ht="37.5" customHeight="1" x14ac:dyDescent="0.25">
      <c r="A5" s="774" t="s">
        <v>703</v>
      </c>
      <c r="B5" s="775"/>
      <c r="C5" s="823" t="s">
        <v>582</v>
      </c>
      <c r="D5" s="824"/>
      <c r="E5" s="824"/>
      <c r="F5" s="824"/>
      <c r="G5" s="824"/>
      <c r="H5" s="823" t="s">
        <v>704</v>
      </c>
      <c r="I5" s="825"/>
      <c r="J5" s="825"/>
      <c r="K5" s="825"/>
      <c r="L5" s="826"/>
    </row>
    <row r="6" spans="1:12" ht="39.6" customHeight="1" x14ac:dyDescent="0.25">
      <c r="A6" s="778"/>
      <c r="B6" s="779"/>
      <c r="C6" s="612"/>
      <c r="D6" s="543" t="s">
        <v>653</v>
      </c>
      <c r="E6" s="543" t="s">
        <v>654</v>
      </c>
      <c r="F6" s="543" t="s">
        <v>655</v>
      </c>
      <c r="G6" s="543" t="s">
        <v>656</v>
      </c>
      <c r="H6" s="544"/>
      <c r="I6" s="543" t="s">
        <v>653</v>
      </c>
      <c r="J6" s="543" t="s">
        <v>654</v>
      </c>
      <c r="K6" s="543" t="s">
        <v>655</v>
      </c>
      <c r="L6" s="543" t="s">
        <v>656</v>
      </c>
    </row>
    <row r="7" spans="1:12" x14ac:dyDescent="0.25">
      <c r="A7" s="548">
        <v>1</v>
      </c>
      <c r="B7" s="560" t="s">
        <v>595</v>
      </c>
      <c r="C7" s="613">
        <v>594528.54</v>
      </c>
      <c r="D7" s="546">
        <v>593239.1</v>
      </c>
      <c r="E7" s="546">
        <v>254.36</v>
      </c>
      <c r="F7" s="546">
        <v>1035.08</v>
      </c>
      <c r="G7" s="546">
        <v>0</v>
      </c>
      <c r="H7" s="546">
        <v>19078.766595635014</v>
      </c>
      <c r="I7" s="546">
        <v>18074.219954108143</v>
      </c>
      <c r="J7" s="546">
        <v>115.34484871728196</v>
      </c>
      <c r="K7" s="546">
        <v>889.2017928095845</v>
      </c>
      <c r="L7" s="546">
        <v>0</v>
      </c>
    </row>
    <row r="8" spans="1:12" x14ac:dyDescent="0.25">
      <c r="A8" s="548">
        <v>2</v>
      </c>
      <c r="B8" s="560" t="s">
        <v>596</v>
      </c>
      <c r="C8" s="613">
        <v>605514.44999999995</v>
      </c>
      <c r="D8" s="546">
        <v>601897.84999999986</v>
      </c>
      <c r="E8" s="546">
        <v>71.8</v>
      </c>
      <c r="F8" s="546">
        <v>3544.8</v>
      </c>
      <c r="G8" s="546">
        <v>0</v>
      </c>
      <c r="H8" s="546">
        <v>24903.960997491751</v>
      </c>
      <c r="I8" s="546">
        <v>22858.440795372055</v>
      </c>
      <c r="J8" s="546">
        <v>21.205392846024225</v>
      </c>
      <c r="K8" s="546">
        <v>2024.314809273676</v>
      </c>
      <c r="L8" s="546">
        <v>0</v>
      </c>
    </row>
    <row r="9" spans="1:12" x14ac:dyDescent="0.25">
      <c r="A9" s="548">
        <v>3</v>
      </c>
      <c r="B9" s="560" t="s">
        <v>597</v>
      </c>
      <c r="C9" s="613">
        <v>0</v>
      </c>
      <c r="D9" s="546">
        <v>0</v>
      </c>
      <c r="E9" s="546">
        <v>0</v>
      </c>
      <c r="F9" s="546">
        <v>0</v>
      </c>
      <c r="G9" s="546">
        <v>0</v>
      </c>
      <c r="H9" s="546">
        <v>0</v>
      </c>
      <c r="I9" s="546">
        <v>0</v>
      </c>
      <c r="J9" s="546">
        <v>0</v>
      </c>
      <c r="K9" s="546">
        <v>0</v>
      </c>
      <c r="L9" s="546">
        <v>0</v>
      </c>
    </row>
    <row r="10" spans="1:12" x14ac:dyDescent="0.25">
      <c r="A10" s="548">
        <v>4</v>
      </c>
      <c r="B10" s="560" t="s">
        <v>598</v>
      </c>
      <c r="C10" s="613">
        <v>3667931.8899999997</v>
      </c>
      <c r="D10" s="546">
        <v>3667931.8899999997</v>
      </c>
      <c r="E10" s="546">
        <v>0</v>
      </c>
      <c r="F10" s="546">
        <v>0</v>
      </c>
      <c r="G10" s="546">
        <v>0</v>
      </c>
      <c r="H10" s="546">
        <v>57019.78512221112</v>
      </c>
      <c r="I10" s="546">
        <v>57019.78512221112</v>
      </c>
      <c r="J10" s="546">
        <v>0</v>
      </c>
      <c r="K10" s="546">
        <v>0</v>
      </c>
      <c r="L10" s="546">
        <v>0</v>
      </c>
    </row>
    <row r="11" spans="1:12" x14ac:dyDescent="0.25">
      <c r="A11" s="548">
        <v>5</v>
      </c>
      <c r="B11" s="560" t="s">
        <v>599</v>
      </c>
      <c r="C11" s="613">
        <v>5897480.4100000001</v>
      </c>
      <c r="D11" s="546">
        <v>5897480.4100000001</v>
      </c>
      <c r="E11" s="546">
        <v>0</v>
      </c>
      <c r="F11" s="546">
        <v>0</v>
      </c>
      <c r="G11" s="546">
        <v>0</v>
      </c>
      <c r="H11" s="546">
        <v>89821.977942657948</v>
      </c>
      <c r="I11" s="546">
        <v>89821.977942657948</v>
      </c>
      <c r="J11" s="546">
        <v>0</v>
      </c>
      <c r="K11" s="546">
        <v>0</v>
      </c>
      <c r="L11" s="546">
        <v>0</v>
      </c>
    </row>
    <row r="12" spans="1:12" x14ac:dyDescent="0.25">
      <c r="A12" s="548">
        <v>6</v>
      </c>
      <c r="B12" s="560" t="s">
        <v>600</v>
      </c>
      <c r="C12" s="613">
        <v>119344.08999999998</v>
      </c>
      <c r="D12" s="546">
        <v>74208.079999999987</v>
      </c>
      <c r="E12" s="546">
        <v>45136.01</v>
      </c>
      <c r="F12" s="546">
        <v>0</v>
      </c>
      <c r="G12" s="546">
        <v>0</v>
      </c>
      <c r="H12" s="546">
        <v>15067.028759886476</v>
      </c>
      <c r="I12" s="546">
        <v>9614.8842017970292</v>
      </c>
      <c r="J12" s="546">
        <v>5452.1445580894469</v>
      </c>
      <c r="K12" s="546">
        <v>0</v>
      </c>
      <c r="L12" s="546">
        <v>0</v>
      </c>
    </row>
    <row r="13" spans="1:12" x14ac:dyDescent="0.25">
      <c r="A13" s="548">
        <v>7</v>
      </c>
      <c r="B13" s="560" t="s">
        <v>602</v>
      </c>
      <c r="C13" s="613">
        <v>1229105.3000000003</v>
      </c>
      <c r="D13" s="546">
        <v>1228410.2400000002</v>
      </c>
      <c r="E13" s="546">
        <v>418.95</v>
      </c>
      <c r="F13" s="546">
        <v>276.11</v>
      </c>
      <c r="G13" s="546">
        <v>0</v>
      </c>
      <c r="H13" s="546">
        <v>29831.42095402017</v>
      </c>
      <c r="I13" s="546">
        <v>29407.310856161705</v>
      </c>
      <c r="J13" s="546">
        <v>185.2201656738427</v>
      </c>
      <c r="K13" s="546">
        <v>238.88993218462306</v>
      </c>
      <c r="L13" s="546">
        <v>0</v>
      </c>
    </row>
    <row r="14" spans="1:12" x14ac:dyDescent="0.25">
      <c r="A14" s="548">
        <v>8</v>
      </c>
      <c r="B14" s="560" t="s">
        <v>603</v>
      </c>
      <c r="C14" s="613">
        <v>70659.85000000002</v>
      </c>
      <c r="D14" s="546">
        <v>4474.93</v>
      </c>
      <c r="E14" s="546">
        <v>65560.100000000006</v>
      </c>
      <c r="F14" s="546">
        <v>624.82000000000005</v>
      </c>
      <c r="G14" s="546">
        <v>0</v>
      </c>
      <c r="H14" s="546">
        <v>25748.941256108279</v>
      </c>
      <c r="I14" s="546">
        <v>123.81705692512857</v>
      </c>
      <c r="J14" s="546">
        <v>25094.56706759975</v>
      </c>
      <c r="K14" s="546">
        <v>530.55713158340052</v>
      </c>
      <c r="L14" s="546">
        <v>0</v>
      </c>
    </row>
    <row r="15" spans="1:12" x14ac:dyDescent="0.25">
      <c r="A15" s="548">
        <v>9</v>
      </c>
      <c r="B15" s="560" t="s">
        <v>604</v>
      </c>
      <c r="C15" s="613">
        <v>1147.9900000000002</v>
      </c>
      <c r="D15" s="546">
        <v>1085.3500000000001</v>
      </c>
      <c r="E15" s="546">
        <v>0</v>
      </c>
      <c r="F15" s="546">
        <v>62.64</v>
      </c>
      <c r="G15" s="546">
        <v>0</v>
      </c>
      <c r="H15" s="546">
        <v>92.647420116559687</v>
      </c>
      <c r="I15" s="546">
        <v>42.661286963967932</v>
      </c>
      <c r="J15" s="546">
        <v>0</v>
      </c>
      <c r="K15" s="546">
        <v>49.986133152591762</v>
      </c>
      <c r="L15" s="546">
        <v>0</v>
      </c>
    </row>
    <row r="16" spans="1:12" x14ac:dyDescent="0.25">
      <c r="A16" s="548">
        <v>10</v>
      </c>
      <c r="B16" s="560" t="s">
        <v>605</v>
      </c>
      <c r="C16" s="613">
        <v>411.24</v>
      </c>
      <c r="D16" s="546">
        <v>411.24</v>
      </c>
      <c r="E16" s="546">
        <v>0</v>
      </c>
      <c r="F16" s="546">
        <v>0</v>
      </c>
      <c r="G16" s="546">
        <v>0</v>
      </c>
      <c r="H16" s="546">
        <v>12.001079364740638</v>
      </c>
      <c r="I16" s="546">
        <v>12.001079364740638</v>
      </c>
      <c r="J16" s="546">
        <v>0</v>
      </c>
      <c r="K16" s="546">
        <v>0</v>
      </c>
      <c r="L16" s="546">
        <v>0</v>
      </c>
    </row>
    <row r="17" spans="1:12" x14ac:dyDescent="0.25">
      <c r="A17" s="548">
        <v>11</v>
      </c>
      <c r="B17" s="560" t="s">
        <v>606</v>
      </c>
      <c r="C17" s="613">
        <v>351.66999999999996</v>
      </c>
      <c r="D17" s="546">
        <v>351.66999999999996</v>
      </c>
      <c r="E17" s="546">
        <v>0</v>
      </c>
      <c r="F17" s="546">
        <v>0</v>
      </c>
      <c r="G17" s="546">
        <v>0</v>
      </c>
      <c r="H17" s="546">
        <v>26.912638731776017</v>
      </c>
      <c r="I17" s="546">
        <v>26.912638731776017</v>
      </c>
      <c r="J17" s="546">
        <v>0</v>
      </c>
      <c r="K17" s="546">
        <v>0</v>
      </c>
      <c r="L17" s="546">
        <v>0</v>
      </c>
    </row>
    <row r="18" spans="1:12" x14ac:dyDescent="0.25">
      <c r="A18" s="548">
        <v>12</v>
      </c>
      <c r="B18" s="560" t="s">
        <v>607</v>
      </c>
      <c r="C18" s="613">
        <v>67038.42</v>
      </c>
      <c r="D18" s="546">
        <v>66532.479999999996</v>
      </c>
      <c r="E18" s="546">
        <v>0</v>
      </c>
      <c r="F18" s="546">
        <v>505.94000000000005</v>
      </c>
      <c r="G18" s="546">
        <v>0</v>
      </c>
      <c r="H18" s="546">
        <v>2612.2706359503632</v>
      </c>
      <c r="I18" s="546">
        <v>2174.5482837279073</v>
      </c>
      <c r="J18" s="546">
        <v>0</v>
      </c>
      <c r="K18" s="546">
        <v>437.72235222245587</v>
      </c>
      <c r="L18" s="546">
        <v>0</v>
      </c>
    </row>
    <row r="19" spans="1:12" x14ac:dyDescent="0.25">
      <c r="A19" s="548">
        <v>13</v>
      </c>
      <c r="B19" s="560" t="s">
        <v>608</v>
      </c>
      <c r="C19" s="613">
        <v>33891.68</v>
      </c>
      <c r="D19" s="546">
        <v>33337.94000000001</v>
      </c>
      <c r="E19" s="546">
        <v>207.45000000000002</v>
      </c>
      <c r="F19" s="546">
        <v>346.28999999999996</v>
      </c>
      <c r="G19" s="546">
        <v>0</v>
      </c>
      <c r="H19" s="546">
        <v>1233.1362939556082</v>
      </c>
      <c r="I19" s="546">
        <v>820.14742024988368</v>
      </c>
      <c r="J19" s="546">
        <v>115.83374527836928</v>
      </c>
      <c r="K19" s="546">
        <v>297.15512842735524</v>
      </c>
      <c r="L19" s="546">
        <v>0</v>
      </c>
    </row>
    <row r="20" spans="1:12" x14ac:dyDescent="0.25">
      <c r="A20" s="548">
        <v>14</v>
      </c>
      <c r="B20" s="560" t="s">
        <v>609</v>
      </c>
      <c r="C20" s="613">
        <v>1241460.5</v>
      </c>
      <c r="D20" s="546">
        <v>1241460.5</v>
      </c>
      <c r="E20" s="546">
        <v>0</v>
      </c>
      <c r="F20" s="546">
        <v>0</v>
      </c>
      <c r="G20" s="546">
        <v>0</v>
      </c>
      <c r="H20" s="546">
        <v>25042.237529414284</v>
      </c>
      <c r="I20" s="546">
        <v>25042.237529414284</v>
      </c>
      <c r="J20" s="546">
        <v>0</v>
      </c>
      <c r="K20" s="546">
        <v>0</v>
      </c>
      <c r="L20" s="546">
        <v>0</v>
      </c>
    </row>
    <row r="21" spans="1:12" x14ac:dyDescent="0.25">
      <c r="A21" s="548">
        <v>15</v>
      </c>
      <c r="B21" s="560" t="s">
        <v>610</v>
      </c>
      <c r="C21" s="613">
        <v>74154.659999999989</v>
      </c>
      <c r="D21" s="546">
        <v>74154.659999999989</v>
      </c>
      <c r="E21" s="546">
        <v>0</v>
      </c>
      <c r="F21" s="546">
        <v>0</v>
      </c>
      <c r="G21" s="546">
        <v>0</v>
      </c>
      <c r="H21" s="546">
        <v>2426.1058172824692</v>
      </c>
      <c r="I21" s="546">
        <v>2426.1058172824692</v>
      </c>
      <c r="J21" s="546">
        <v>0</v>
      </c>
      <c r="K21" s="546">
        <v>0</v>
      </c>
      <c r="L21" s="546">
        <v>0</v>
      </c>
    </row>
    <row r="22" spans="1:12" x14ac:dyDescent="0.25">
      <c r="A22" s="548">
        <v>16</v>
      </c>
      <c r="B22" s="560" t="s">
        <v>611</v>
      </c>
      <c r="C22" s="613">
        <v>0</v>
      </c>
      <c r="D22" s="546">
        <v>0</v>
      </c>
      <c r="E22" s="546">
        <v>0</v>
      </c>
      <c r="F22" s="546">
        <v>0</v>
      </c>
      <c r="G22" s="546">
        <v>0</v>
      </c>
      <c r="H22" s="546">
        <v>0</v>
      </c>
      <c r="I22" s="546">
        <v>0</v>
      </c>
      <c r="J22" s="546">
        <v>0</v>
      </c>
      <c r="K22" s="546">
        <v>0</v>
      </c>
      <c r="L22" s="546">
        <v>0</v>
      </c>
    </row>
    <row r="23" spans="1:12" x14ac:dyDescent="0.25">
      <c r="A23" s="548">
        <v>17</v>
      </c>
      <c r="B23" s="560" t="s">
        <v>612</v>
      </c>
      <c r="C23" s="613">
        <v>7291.09</v>
      </c>
      <c r="D23" s="546">
        <v>0</v>
      </c>
      <c r="E23" s="546">
        <v>0</v>
      </c>
      <c r="F23" s="546">
        <v>7291.09</v>
      </c>
      <c r="G23" s="546">
        <v>0</v>
      </c>
      <c r="H23" s="546">
        <v>4163.6937098700091</v>
      </c>
      <c r="I23" s="546">
        <v>0</v>
      </c>
      <c r="J23" s="546">
        <v>0</v>
      </c>
      <c r="K23" s="546">
        <v>4163.6937098700091</v>
      </c>
      <c r="L23" s="546">
        <v>0</v>
      </c>
    </row>
    <row r="24" spans="1:12" x14ac:dyDescent="0.25">
      <c r="A24" s="548">
        <v>18</v>
      </c>
      <c r="B24" s="560" t="s">
        <v>613</v>
      </c>
      <c r="C24" s="613">
        <v>54841.959999999992</v>
      </c>
      <c r="D24" s="546">
        <v>54841.959999999992</v>
      </c>
      <c r="E24" s="546">
        <v>0</v>
      </c>
      <c r="F24" s="546">
        <v>0</v>
      </c>
      <c r="G24" s="546">
        <v>0</v>
      </c>
      <c r="H24" s="546">
        <v>1138.8291214880878</v>
      </c>
      <c r="I24" s="546">
        <v>1138.8291214880878</v>
      </c>
      <c r="J24" s="546">
        <v>0</v>
      </c>
      <c r="K24" s="546">
        <v>0</v>
      </c>
      <c r="L24" s="546">
        <v>0</v>
      </c>
    </row>
    <row r="25" spans="1:12" x14ac:dyDescent="0.25">
      <c r="A25" s="548">
        <v>19</v>
      </c>
      <c r="B25" s="560" t="s">
        <v>614</v>
      </c>
      <c r="C25" s="613">
        <v>86013</v>
      </c>
      <c r="D25" s="546">
        <v>86013</v>
      </c>
      <c r="E25" s="546">
        <v>0</v>
      </c>
      <c r="F25" s="546">
        <v>0</v>
      </c>
      <c r="G25" s="546">
        <v>0</v>
      </c>
      <c r="H25" s="546">
        <v>2611.9001200593361</v>
      </c>
      <c r="I25" s="546">
        <v>2611.9001200593361</v>
      </c>
      <c r="J25" s="546">
        <v>0</v>
      </c>
      <c r="K25" s="546">
        <v>0</v>
      </c>
      <c r="L25" s="546">
        <v>0</v>
      </c>
    </row>
    <row r="26" spans="1:12" x14ac:dyDescent="0.25">
      <c r="A26" s="548">
        <v>20</v>
      </c>
      <c r="B26" s="560" t="s">
        <v>615</v>
      </c>
      <c r="C26" s="613">
        <v>82577.78</v>
      </c>
      <c r="D26" s="546">
        <v>82255.360000000001</v>
      </c>
      <c r="E26" s="546">
        <v>0</v>
      </c>
      <c r="F26" s="546">
        <v>322.42</v>
      </c>
      <c r="G26" s="546">
        <v>0</v>
      </c>
      <c r="H26" s="546">
        <v>2820.9172344747867</v>
      </c>
      <c r="I26" s="546">
        <v>2541.9599640573219</v>
      </c>
      <c r="J26" s="546">
        <v>0</v>
      </c>
      <c r="K26" s="546">
        <v>278.95727041746466</v>
      </c>
      <c r="L26" s="546">
        <v>0</v>
      </c>
    </row>
    <row r="27" spans="1:12" x14ac:dyDescent="0.25">
      <c r="A27" s="548">
        <v>21</v>
      </c>
      <c r="B27" s="560" t="s">
        <v>616</v>
      </c>
      <c r="C27" s="613">
        <v>131876.24999999997</v>
      </c>
      <c r="D27" s="546">
        <v>131659.16999999998</v>
      </c>
      <c r="E27" s="546">
        <v>0</v>
      </c>
      <c r="F27" s="546">
        <v>217.08</v>
      </c>
      <c r="G27" s="546">
        <v>0</v>
      </c>
      <c r="H27" s="546">
        <v>6795.8511699097326</v>
      </c>
      <c r="I27" s="546">
        <v>6622.6233636395436</v>
      </c>
      <c r="J27" s="546">
        <v>0</v>
      </c>
      <c r="K27" s="546">
        <v>173.22780627018869</v>
      </c>
      <c r="L27" s="546">
        <v>0</v>
      </c>
    </row>
    <row r="28" spans="1:12" x14ac:dyDescent="0.25">
      <c r="A28" s="548">
        <v>22</v>
      </c>
      <c r="B28" s="560" t="s">
        <v>617</v>
      </c>
      <c r="C28" s="613">
        <v>2706391.2299999981</v>
      </c>
      <c r="D28" s="546">
        <v>2575693.5999999982</v>
      </c>
      <c r="E28" s="546">
        <v>83074.889999999985</v>
      </c>
      <c r="F28" s="546">
        <v>47622.74</v>
      </c>
      <c r="G28" s="546">
        <v>0</v>
      </c>
      <c r="H28" s="546">
        <v>118832.89540858354</v>
      </c>
      <c r="I28" s="546">
        <v>81602.245734395139</v>
      </c>
      <c r="J28" s="546">
        <v>10034.921328389006</v>
      </c>
      <c r="K28" s="546">
        <v>27195.728345799442</v>
      </c>
      <c r="L28" s="546">
        <v>0</v>
      </c>
    </row>
    <row r="29" spans="1:12" x14ac:dyDescent="0.25">
      <c r="A29" s="548">
        <v>23</v>
      </c>
      <c r="B29" s="560" t="s">
        <v>618</v>
      </c>
      <c r="C29" s="613">
        <v>1557310.0100000005</v>
      </c>
      <c r="D29" s="546">
        <v>1423041.6700000011</v>
      </c>
      <c r="E29" s="546">
        <v>87423.859999999986</v>
      </c>
      <c r="F29" s="546">
        <v>46844.479999999989</v>
      </c>
      <c r="G29" s="546">
        <v>0</v>
      </c>
      <c r="H29" s="546">
        <v>73005.737547736921</v>
      </c>
      <c r="I29" s="546">
        <v>35133.681673157422</v>
      </c>
      <c r="J29" s="546">
        <v>11120.765365460758</v>
      </c>
      <c r="K29" s="546">
        <v>26751.290509118859</v>
      </c>
      <c r="L29" s="546">
        <v>0</v>
      </c>
    </row>
    <row r="30" spans="1:12" x14ac:dyDescent="0.25">
      <c r="A30" s="548">
        <v>24</v>
      </c>
      <c r="B30" s="560" t="s">
        <v>619</v>
      </c>
      <c r="C30" s="613">
        <v>1060065.3299999998</v>
      </c>
      <c r="D30" s="546">
        <v>1532.67</v>
      </c>
      <c r="E30" s="546">
        <v>0</v>
      </c>
      <c r="F30" s="546">
        <v>1058532.6599999999</v>
      </c>
      <c r="G30" s="546">
        <v>0</v>
      </c>
      <c r="H30" s="546">
        <v>365146.3759066966</v>
      </c>
      <c r="I30" s="546">
        <v>80.646004176979233</v>
      </c>
      <c r="J30" s="546">
        <v>0</v>
      </c>
      <c r="K30" s="546">
        <v>365065.72990251967</v>
      </c>
      <c r="L30" s="546">
        <v>0</v>
      </c>
    </row>
    <row r="31" spans="1:12" x14ac:dyDescent="0.25">
      <c r="A31" s="548">
        <v>25</v>
      </c>
      <c r="B31" s="560" t="s">
        <v>212</v>
      </c>
      <c r="C31" s="613">
        <v>2876822.8135666451</v>
      </c>
      <c r="D31" s="546">
        <v>2782654.3335666452</v>
      </c>
      <c r="E31" s="548">
        <v>14023.03</v>
      </c>
      <c r="F31" s="548">
        <v>80145.45</v>
      </c>
      <c r="G31" s="546">
        <v>0</v>
      </c>
      <c r="H31" s="548">
        <v>135478.33028120254</v>
      </c>
      <c r="I31" s="546">
        <v>99139.138112064626</v>
      </c>
      <c r="J31" s="546">
        <v>1725.2592658422195</v>
      </c>
      <c r="K31" s="546">
        <v>34613.932903295696</v>
      </c>
      <c r="L31" s="546">
        <v>0</v>
      </c>
    </row>
    <row r="32" spans="1:12" x14ac:dyDescent="0.25">
      <c r="A32" s="548">
        <v>26</v>
      </c>
      <c r="B32" s="560" t="s">
        <v>705</v>
      </c>
      <c r="C32" s="613">
        <v>0</v>
      </c>
      <c r="D32" s="546">
        <v>0</v>
      </c>
      <c r="E32" s="546">
        <v>0</v>
      </c>
      <c r="F32" s="546">
        <v>0</v>
      </c>
      <c r="G32" s="546">
        <v>0</v>
      </c>
      <c r="H32" s="613">
        <v>0</v>
      </c>
      <c r="I32" s="613">
        <v>0</v>
      </c>
      <c r="J32" s="613">
        <v>0</v>
      </c>
      <c r="K32" s="613">
        <v>0</v>
      </c>
      <c r="L32" s="546">
        <v>0</v>
      </c>
    </row>
    <row r="33" spans="1:12" x14ac:dyDescent="0.25">
      <c r="A33" s="548">
        <v>27</v>
      </c>
      <c r="B33" s="614" t="s">
        <v>92</v>
      </c>
      <c r="C33" s="615">
        <v>22166210.15356664</v>
      </c>
      <c r="D33" s="615">
        <v>20622668.103566647</v>
      </c>
      <c r="E33" s="615">
        <v>296170.45</v>
      </c>
      <c r="F33" s="615">
        <v>1247371.5999999999</v>
      </c>
      <c r="G33" s="615">
        <v>0</v>
      </c>
      <c r="H33" s="615">
        <v>1002911.7235428481</v>
      </c>
      <c r="I33" s="615">
        <v>486336.07407800661</v>
      </c>
      <c r="J33" s="615">
        <v>53865.261737896697</v>
      </c>
      <c r="K33" s="615">
        <v>462710.38772694499</v>
      </c>
      <c r="L33" s="615">
        <v>0</v>
      </c>
    </row>
  </sheetData>
  <mergeCells count="3">
    <mergeCell ref="A5:B6"/>
    <mergeCell ref="C5:G5"/>
    <mergeCell ref="H5:L5"/>
  </mergeCells>
  <conditionalFormatting sqref="A5">
    <cfRule type="duplicateValues" dxfId="5" priority="1"/>
    <cfRule type="duplicateValues" dxfId="4" priority="2"/>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0133A-D68C-4D03-9FB9-5258A19FC20F}">
  <dimension ref="A1:L14"/>
  <sheetViews>
    <sheetView showGridLines="0" topLeftCell="C1" zoomScaleNormal="100" workbookViewId="0">
      <selection activeCell="I20" sqref="I20"/>
    </sheetView>
  </sheetViews>
  <sheetFormatPr defaultColWidth="8.7109375" defaultRowHeight="12" x14ac:dyDescent="0.2"/>
  <cols>
    <col min="1" max="1" width="11.85546875" style="619" bestFit="1" customWidth="1"/>
    <col min="2" max="2" width="165.140625" style="619" customWidth="1"/>
    <col min="3" max="11" width="21" style="619" customWidth="1"/>
    <col min="12" max="12" width="12.42578125" style="618" bestFit="1" customWidth="1"/>
    <col min="13" max="16384" width="8.7109375" style="619"/>
  </cols>
  <sheetData>
    <row r="1" spans="1:12" s="521" customFormat="1" ht="13.5" x14ac:dyDescent="0.25">
      <c r="A1" s="520" t="s">
        <v>41</v>
      </c>
      <c r="B1" s="21" t="str">
        <f>Info!C2</f>
        <v>სს სილქ ბანკი</v>
      </c>
      <c r="C1" s="539"/>
      <c r="D1" s="539"/>
      <c r="E1" s="539"/>
      <c r="F1" s="539"/>
      <c r="G1" s="539"/>
      <c r="H1" s="539"/>
      <c r="I1" s="539"/>
      <c r="J1" s="539"/>
      <c r="K1" s="539"/>
      <c r="L1" s="563"/>
    </row>
    <row r="2" spans="1:12" s="521" customFormat="1" ht="12.75" x14ac:dyDescent="0.25">
      <c r="A2" s="520" t="s">
        <v>42</v>
      </c>
      <c r="B2" s="522">
        <f>'1. key ratios'!B2</f>
        <v>45107</v>
      </c>
      <c r="C2" s="539"/>
      <c r="D2" s="539"/>
      <c r="E2" s="539"/>
      <c r="F2" s="539"/>
      <c r="G2" s="539"/>
      <c r="H2" s="539"/>
      <c r="I2" s="539"/>
      <c r="J2" s="539"/>
      <c r="K2" s="539"/>
      <c r="L2" s="563"/>
    </row>
    <row r="3" spans="1:12" s="521" customFormat="1" ht="12.75" x14ac:dyDescent="0.25">
      <c r="A3" s="523" t="s">
        <v>706</v>
      </c>
      <c r="B3" s="539"/>
      <c r="C3" s="539"/>
      <c r="D3" s="539"/>
      <c r="E3" s="539"/>
      <c r="F3" s="539"/>
      <c r="G3" s="539"/>
      <c r="H3" s="539"/>
      <c r="I3" s="539"/>
      <c r="J3" s="539"/>
      <c r="K3" s="539"/>
      <c r="L3" s="563"/>
    </row>
    <row r="4" spans="1:12" x14ac:dyDescent="0.2">
      <c r="A4" s="616"/>
      <c r="B4" s="616"/>
      <c r="C4" s="617" t="s">
        <v>575</v>
      </c>
      <c r="D4" s="617" t="s">
        <v>576</v>
      </c>
      <c r="E4" s="617" t="s">
        <v>577</v>
      </c>
      <c r="F4" s="617" t="s">
        <v>578</v>
      </c>
      <c r="G4" s="617" t="s">
        <v>579</v>
      </c>
      <c r="H4" s="617" t="s">
        <v>580</v>
      </c>
      <c r="I4" s="617" t="s">
        <v>707</v>
      </c>
      <c r="J4" s="617" t="s">
        <v>708</v>
      </c>
      <c r="K4" s="617" t="s">
        <v>709</v>
      </c>
    </row>
    <row r="5" spans="1:12" ht="104.1" customHeight="1" x14ac:dyDescent="0.2">
      <c r="A5" s="827" t="s">
        <v>710</v>
      </c>
      <c r="B5" s="828"/>
      <c r="C5" s="573" t="s">
        <v>711</v>
      </c>
      <c r="D5" s="573" t="s">
        <v>712</v>
      </c>
      <c r="E5" s="573" t="s">
        <v>713</v>
      </c>
      <c r="F5" s="573" t="s">
        <v>714</v>
      </c>
      <c r="G5" s="573" t="s">
        <v>715</v>
      </c>
      <c r="H5" s="573" t="s">
        <v>716</v>
      </c>
      <c r="I5" s="573" t="s">
        <v>717</v>
      </c>
      <c r="J5" s="573" t="s">
        <v>718</v>
      </c>
      <c r="K5" s="573" t="s">
        <v>719</v>
      </c>
    </row>
    <row r="6" spans="1:12" ht="12.75" x14ac:dyDescent="0.25">
      <c r="A6" s="548">
        <v>1</v>
      </c>
      <c r="B6" s="548" t="s">
        <v>720</v>
      </c>
      <c r="C6" s="546">
        <v>0</v>
      </c>
      <c r="D6" s="546"/>
      <c r="E6" s="546"/>
      <c r="F6" s="546"/>
      <c r="G6" s="546">
        <v>17084787.483566646</v>
      </c>
      <c r="H6" s="546">
        <v>0</v>
      </c>
      <c r="I6" s="547">
        <v>257450.45999999996</v>
      </c>
      <c r="J6" s="546">
        <v>51249</v>
      </c>
      <c r="K6" s="546">
        <v>4772723.2100000018</v>
      </c>
      <c r="L6" s="620"/>
    </row>
    <row r="7" spans="1:12" ht="12.75" x14ac:dyDescent="0.25">
      <c r="A7" s="548">
        <v>2</v>
      </c>
      <c r="B7" s="548" t="s">
        <v>721</v>
      </c>
      <c r="C7" s="546"/>
      <c r="D7" s="546"/>
      <c r="E7" s="546"/>
      <c r="F7" s="546"/>
      <c r="G7" s="546"/>
      <c r="H7" s="546"/>
      <c r="I7" s="546"/>
      <c r="J7" s="546"/>
      <c r="K7" s="546"/>
    </row>
    <row r="8" spans="1:12" ht="12.75" x14ac:dyDescent="0.25">
      <c r="A8" s="548">
        <v>3</v>
      </c>
      <c r="B8" s="548" t="s">
        <v>671</v>
      </c>
      <c r="C8" s="546">
        <v>555677</v>
      </c>
      <c r="D8" s="546"/>
      <c r="E8" s="546"/>
      <c r="F8" s="546"/>
      <c r="G8" s="546">
        <v>200000</v>
      </c>
      <c r="H8" s="546"/>
      <c r="I8" s="546">
        <v>9600</v>
      </c>
      <c r="J8" s="546"/>
      <c r="K8" s="546">
        <v>2276214.58</v>
      </c>
    </row>
    <row r="9" spans="1:12" ht="12.75" x14ac:dyDescent="0.25">
      <c r="A9" s="548">
        <v>4</v>
      </c>
      <c r="B9" s="568" t="s">
        <v>722</v>
      </c>
      <c r="C9" s="621"/>
      <c r="D9" s="621"/>
      <c r="E9" s="621"/>
      <c r="F9" s="621"/>
      <c r="G9" s="621"/>
      <c r="H9" s="621"/>
      <c r="I9" s="621"/>
      <c r="J9" s="621"/>
      <c r="K9" s="621"/>
    </row>
    <row r="10" spans="1:12" ht="12.75" x14ac:dyDescent="0.25">
      <c r="A10" s="548">
        <v>5</v>
      </c>
      <c r="B10" s="568" t="s">
        <v>723</v>
      </c>
      <c r="C10" s="621"/>
      <c r="D10" s="621"/>
      <c r="E10" s="621"/>
      <c r="F10" s="621"/>
      <c r="G10" s="621"/>
      <c r="H10" s="621"/>
      <c r="I10" s="621"/>
      <c r="J10" s="621"/>
      <c r="K10" s="621"/>
    </row>
    <row r="11" spans="1:12" ht="12.75" x14ac:dyDescent="0.25">
      <c r="A11" s="548">
        <v>6</v>
      </c>
      <c r="B11" s="568" t="s">
        <v>724</v>
      </c>
      <c r="C11" s="621"/>
      <c r="D11" s="621"/>
      <c r="E11" s="621"/>
      <c r="F11" s="621"/>
      <c r="G11" s="621"/>
      <c r="H11" s="621"/>
      <c r="I11" s="621"/>
      <c r="J11" s="621"/>
      <c r="K11" s="621"/>
    </row>
    <row r="13" spans="1:12" ht="15" x14ac:dyDescent="0.3">
      <c r="B13" s="622"/>
      <c r="G13" s="677"/>
    </row>
    <row r="14" spans="1:12" x14ac:dyDescent="0.2">
      <c r="G14" s="677"/>
    </row>
  </sheetData>
  <mergeCells count="1">
    <mergeCell ref="A5:B5"/>
  </mergeCells>
  <conditionalFormatting sqref="A5">
    <cfRule type="duplicateValues" dxfId="2" priority="1"/>
    <cfRule type="duplicateValues" dxfId="1" priority="2"/>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F221D-FE5C-4896-8F24-7500390AF410}">
  <dimension ref="A1:BO20"/>
  <sheetViews>
    <sheetView showGridLines="0" tabSelected="1" topLeftCell="K1" zoomScale="115" zoomScaleNormal="115" workbookViewId="0">
      <selection activeCell="R27" sqref="R27"/>
    </sheetView>
  </sheetViews>
  <sheetFormatPr defaultColWidth="8.7109375" defaultRowHeight="15" x14ac:dyDescent="0.25"/>
  <cols>
    <col min="1" max="1" width="11.140625" style="623" customWidth="1"/>
    <col min="2" max="2" width="56.42578125" style="623" customWidth="1"/>
    <col min="3" max="3" width="13" style="623" customWidth="1"/>
    <col min="4" max="4" width="15.85546875" style="623" bestFit="1" customWidth="1"/>
    <col min="5" max="5" width="12.5703125" style="623" customWidth="1"/>
    <col min="6" max="6" width="10.140625" style="623" bestFit="1" customWidth="1"/>
    <col min="7" max="7" width="12.85546875" style="623" customWidth="1"/>
    <col min="8" max="8" width="16.5703125" style="623" customWidth="1"/>
    <col min="9" max="9" width="17.42578125" style="623" customWidth="1"/>
    <col min="10" max="10" width="16.42578125" style="623" customWidth="1"/>
    <col min="11" max="11" width="15.85546875" style="623" customWidth="1"/>
    <col min="12" max="12" width="22.140625" style="623" customWidth="1"/>
    <col min="13" max="13" width="12.85546875" style="623" customWidth="1"/>
    <col min="14" max="14" width="15.140625" style="623" bestFit="1" customWidth="1"/>
    <col min="15" max="15" width="14.140625" style="623" customWidth="1"/>
    <col min="16" max="16" width="14.28515625" style="623" customWidth="1"/>
    <col min="17" max="17" width="25.7109375" style="623" customWidth="1"/>
    <col min="18" max="18" width="9.5703125" style="623" customWidth="1"/>
    <col min="19" max="19" width="19.28515625" style="623" customWidth="1"/>
    <col min="20" max="20" width="23.28515625" style="623" customWidth="1"/>
    <col min="21" max="21" width="21.85546875" style="623" customWidth="1"/>
    <col min="22" max="22" width="21" style="623" customWidth="1"/>
    <col min="23" max="16384" width="8.7109375" style="623"/>
  </cols>
  <sheetData>
    <row r="1" spans="1:67" x14ac:dyDescent="0.25">
      <c r="A1" s="520" t="s">
        <v>41</v>
      </c>
      <c r="B1" s="21" t="str">
        <f>Info!C2</f>
        <v>სს სილქ ბანკი</v>
      </c>
    </row>
    <row r="2" spans="1:67" x14ac:dyDescent="0.25">
      <c r="A2" s="520" t="s">
        <v>42</v>
      </c>
      <c r="B2" s="522">
        <f>'1. key ratios'!B2</f>
        <v>45107</v>
      </c>
    </row>
    <row r="3" spans="1:67" x14ac:dyDescent="0.25">
      <c r="A3" s="523" t="s">
        <v>725</v>
      </c>
      <c r="B3" s="539"/>
    </row>
    <row r="4" spans="1:67" x14ac:dyDescent="0.25">
      <c r="A4" s="523"/>
      <c r="B4" s="539"/>
    </row>
    <row r="5" spans="1:67" ht="24" customHeight="1" x14ac:dyDescent="0.25">
      <c r="A5" s="830" t="s">
        <v>726</v>
      </c>
      <c r="B5" s="830"/>
      <c r="C5" s="831" t="s">
        <v>727</v>
      </c>
      <c r="D5" s="831"/>
      <c r="E5" s="831"/>
      <c r="F5" s="831"/>
      <c r="G5" s="831"/>
      <c r="H5" s="831" t="s">
        <v>582</v>
      </c>
      <c r="I5" s="831"/>
      <c r="J5" s="831"/>
      <c r="K5" s="831"/>
      <c r="L5" s="831"/>
      <c r="M5" s="831" t="s">
        <v>583</v>
      </c>
      <c r="N5" s="831"/>
      <c r="O5" s="831"/>
      <c r="P5" s="831"/>
      <c r="Q5" s="831"/>
      <c r="R5" s="829" t="s">
        <v>728</v>
      </c>
      <c r="S5" s="829" t="s">
        <v>729</v>
      </c>
      <c r="T5" s="829" t="s">
        <v>730</v>
      </c>
      <c r="U5" s="829" t="s">
        <v>731</v>
      </c>
      <c r="V5" s="829" t="s">
        <v>732</v>
      </c>
    </row>
    <row r="6" spans="1:67" ht="45" customHeight="1" x14ac:dyDescent="0.25">
      <c r="A6" s="830"/>
      <c r="B6" s="830"/>
      <c r="C6" s="624"/>
      <c r="D6" s="543" t="s">
        <v>653</v>
      </c>
      <c r="E6" s="543" t="s">
        <v>654</v>
      </c>
      <c r="F6" s="543" t="s">
        <v>655</v>
      </c>
      <c r="G6" s="543" t="s">
        <v>656</v>
      </c>
      <c r="H6" s="624"/>
      <c r="I6" s="543" t="s">
        <v>653</v>
      </c>
      <c r="J6" s="543" t="s">
        <v>654</v>
      </c>
      <c r="K6" s="543" t="s">
        <v>655</v>
      </c>
      <c r="L6" s="543" t="s">
        <v>656</v>
      </c>
      <c r="M6" s="624"/>
      <c r="N6" s="543" t="s">
        <v>653</v>
      </c>
      <c r="O6" s="543" t="s">
        <v>654</v>
      </c>
      <c r="P6" s="543" t="s">
        <v>655</v>
      </c>
      <c r="Q6" s="543" t="s">
        <v>656</v>
      </c>
      <c r="R6" s="829"/>
      <c r="S6" s="829"/>
      <c r="T6" s="829"/>
      <c r="U6" s="829"/>
      <c r="V6" s="829"/>
    </row>
    <row r="7" spans="1:67" x14ac:dyDescent="0.25">
      <c r="A7" s="625">
        <v>1</v>
      </c>
      <c r="B7" s="626" t="s">
        <v>733</v>
      </c>
      <c r="C7" s="627">
        <v>35500</v>
      </c>
      <c r="D7" s="621">
        <v>35500</v>
      </c>
      <c r="E7" s="621">
        <v>0</v>
      </c>
      <c r="F7" s="621">
        <v>0</v>
      </c>
      <c r="G7" s="621"/>
      <c r="H7" s="621">
        <v>35592.17</v>
      </c>
      <c r="I7" s="621">
        <v>35592.17</v>
      </c>
      <c r="J7" s="621">
        <v>0</v>
      </c>
      <c r="K7" s="621">
        <v>0</v>
      </c>
      <c r="L7" s="621"/>
      <c r="M7" s="621">
        <v>1161.1005210999999</v>
      </c>
      <c r="N7" s="621">
        <v>1161.1005210999999</v>
      </c>
      <c r="O7" s="621">
        <v>0</v>
      </c>
      <c r="P7" s="621">
        <v>0</v>
      </c>
      <c r="Q7" s="621"/>
      <c r="R7" s="628">
        <v>2</v>
      </c>
      <c r="S7" s="629">
        <v>0.31588732394366098</v>
      </c>
      <c r="T7" s="629">
        <v>0.37656338028169001</v>
      </c>
      <c r="U7" s="629">
        <v>0.31588732394366098</v>
      </c>
      <c r="V7" s="621">
        <v>17.408450704225299</v>
      </c>
    </row>
    <row r="8" spans="1:67" x14ac:dyDescent="0.25">
      <c r="A8" s="625">
        <v>2</v>
      </c>
      <c r="B8" s="630" t="s">
        <v>601</v>
      </c>
      <c r="C8" s="627">
        <v>7020278.7400000002</v>
      </c>
      <c r="D8" s="621">
        <v>6615049.7400000002</v>
      </c>
      <c r="E8" s="621">
        <v>222952.57</v>
      </c>
      <c r="F8" s="621">
        <v>182276.43</v>
      </c>
      <c r="G8" s="621"/>
      <c r="H8" s="621">
        <v>7076979.7539999997</v>
      </c>
      <c r="I8" s="621">
        <v>6663377.0839999998</v>
      </c>
      <c r="J8" s="621">
        <v>229169.64</v>
      </c>
      <c r="K8" s="621">
        <v>184433.03</v>
      </c>
      <c r="L8" s="621"/>
      <c r="M8" s="621">
        <v>340445.40933232801</v>
      </c>
      <c r="N8" s="621">
        <v>218275.234149328</v>
      </c>
      <c r="O8" s="621">
        <v>28145.136210199998</v>
      </c>
      <c r="P8" s="621">
        <v>94025.038972800001</v>
      </c>
      <c r="Q8" s="621"/>
      <c r="R8" s="628">
        <v>547</v>
      </c>
      <c r="S8" s="629">
        <v>0.18186620485559701</v>
      </c>
      <c r="T8" s="629">
        <v>0.215662145809906</v>
      </c>
      <c r="U8" s="629">
        <v>0.14645517113897299</v>
      </c>
      <c r="V8" s="621">
        <v>63.382066008108303</v>
      </c>
    </row>
    <row r="9" spans="1:67" x14ac:dyDescent="0.25">
      <c r="A9" s="625">
        <v>3</v>
      </c>
      <c r="B9" s="630" t="s">
        <v>734</v>
      </c>
      <c r="C9" s="627">
        <v>25330.379999999997</v>
      </c>
      <c r="D9" s="621">
        <v>20503.669999999998</v>
      </c>
      <c r="E9" s="621">
        <v>952.45</v>
      </c>
      <c r="F9" s="621">
        <v>3874.26</v>
      </c>
      <c r="G9" s="621"/>
      <c r="H9" s="621">
        <v>25436.6</v>
      </c>
      <c r="I9" s="621">
        <v>20534.93</v>
      </c>
      <c r="J9" s="621">
        <v>1021.76</v>
      </c>
      <c r="K9" s="621">
        <v>3879.91</v>
      </c>
      <c r="L9" s="621"/>
      <c r="M9" s="621">
        <v>6075.1555738629995</v>
      </c>
      <c r="N9" s="621">
        <v>2315.5791557309999</v>
      </c>
      <c r="O9" s="621">
        <v>440.33829493000002</v>
      </c>
      <c r="P9" s="621">
        <v>3319.2381232020002</v>
      </c>
      <c r="Q9" s="621"/>
      <c r="R9" s="628">
        <v>109</v>
      </c>
      <c r="S9" s="629">
        <v>0</v>
      </c>
      <c r="T9" s="629">
        <v>0</v>
      </c>
      <c r="U9" s="629">
        <v>0.35</v>
      </c>
      <c r="V9" s="621">
        <v>58.255345399476802</v>
      </c>
    </row>
    <row r="10" spans="1:67" x14ac:dyDescent="0.25">
      <c r="A10" s="625">
        <v>4</v>
      </c>
      <c r="B10" s="630" t="s">
        <v>735</v>
      </c>
      <c r="C10" s="627">
        <v>9838.8200000000015</v>
      </c>
      <c r="D10" s="621">
        <v>9419.8700000000008</v>
      </c>
      <c r="E10" s="621">
        <v>418.95</v>
      </c>
      <c r="F10" s="621">
        <v>0</v>
      </c>
      <c r="G10" s="621"/>
      <c r="H10" s="621">
        <v>9841.2200000000012</v>
      </c>
      <c r="I10" s="621">
        <v>9422.27</v>
      </c>
      <c r="J10" s="621">
        <v>418.95</v>
      </c>
      <c r="K10" s="621">
        <v>0</v>
      </c>
      <c r="L10" s="621"/>
      <c r="M10" s="621">
        <v>403.837162578</v>
      </c>
      <c r="N10" s="621">
        <v>218.61699687800001</v>
      </c>
      <c r="O10" s="621">
        <v>185.2201657</v>
      </c>
      <c r="P10" s="621">
        <v>0</v>
      </c>
      <c r="Q10" s="621"/>
      <c r="R10" s="628">
        <v>15</v>
      </c>
      <c r="S10" s="629">
        <v>0</v>
      </c>
      <c r="T10" s="629">
        <v>0</v>
      </c>
      <c r="U10" s="629">
        <v>0</v>
      </c>
      <c r="V10" s="621">
        <v>13.297384340804999</v>
      </c>
    </row>
    <row r="11" spans="1:67" x14ac:dyDescent="0.25">
      <c r="A11" s="625">
        <v>5</v>
      </c>
      <c r="B11" s="630" t="s">
        <v>736</v>
      </c>
      <c r="C11" s="627">
        <v>27998.45</v>
      </c>
      <c r="D11" s="621">
        <v>27479.46</v>
      </c>
      <c r="E11" s="621">
        <v>0</v>
      </c>
      <c r="F11" s="621">
        <v>518.99</v>
      </c>
      <c r="G11" s="621"/>
      <c r="H11" s="621">
        <v>28056.6</v>
      </c>
      <c r="I11" s="621">
        <v>27530.6</v>
      </c>
      <c r="J11" s="621">
        <v>0</v>
      </c>
      <c r="K11" s="621">
        <v>526</v>
      </c>
      <c r="L11" s="621"/>
      <c r="M11" s="621">
        <v>1754.9998291509999</v>
      </c>
      <c r="N11" s="621">
        <v>1454.6191053509999</v>
      </c>
      <c r="O11" s="621">
        <v>0</v>
      </c>
      <c r="P11" s="621">
        <v>300.3807238</v>
      </c>
      <c r="Q11" s="621"/>
      <c r="R11" s="628">
        <v>25</v>
      </c>
      <c r="S11" s="629">
        <v>0.48</v>
      </c>
      <c r="T11" s="629">
        <v>0.47499689762150898</v>
      </c>
      <c r="U11" s="629">
        <v>0.16987256080247201</v>
      </c>
      <c r="V11" s="621">
        <v>83.725584273415095</v>
      </c>
    </row>
    <row r="12" spans="1:67" x14ac:dyDescent="0.25">
      <c r="A12" s="625">
        <v>6</v>
      </c>
      <c r="B12" s="630" t="s">
        <v>737</v>
      </c>
      <c r="C12" s="627">
        <v>59360.76</v>
      </c>
      <c r="D12" s="621">
        <v>59360.76</v>
      </c>
      <c r="E12" s="621">
        <v>0</v>
      </c>
      <c r="F12" s="621">
        <v>0</v>
      </c>
      <c r="G12" s="621"/>
      <c r="H12" s="621">
        <v>60151.28</v>
      </c>
      <c r="I12" s="621">
        <v>60151.28</v>
      </c>
      <c r="J12" s="621">
        <v>0</v>
      </c>
      <c r="K12" s="621">
        <v>0</v>
      </c>
      <c r="L12" s="621"/>
      <c r="M12" s="621">
        <v>3642.5866225660002</v>
      </c>
      <c r="N12" s="621">
        <v>3642.5866225660002</v>
      </c>
      <c r="O12" s="621">
        <v>0</v>
      </c>
      <c r="P12" s="621">
        <v>0</v>
      </c>
      <c r="Q12" s="621"/>
      <c r="R12" s="628">
        <v>62</v>
      </c>
      <c r="S12" s="629">
        <v>0</v>
      </c>
      <c r="T12" s="629">
        <v>0</v>
      </c>
      <c r="U12" s="629">
        <v>0.25458910229586001</v>
      </c>
      <c r="V12" s="621">
        <v>41.297312635485099</v>
      </c>
    </row>
    <row r="13" spans="1:67" x14ac:dyDescent="0.25">
      <c r="A13" s="625">
        <v>7</v>
      </c>
      <c r="B13" s="630" t="s">
        <v>738</v>
      </c>
      <c r="C13" s="627">
        <v>1071548.5900000001</v>
      </c>
      <c r="D13" s="621">
        <v>1071548.5900000001</v>
      </c>
      <c r="E13" s="621">
        <v>0</v>
      </c>
      <c r="F13" s="621">
        <v>0</v>
      </c>
      <c r="G13" s="621"/>
      <c r="H13" s="621">
        <v>1083195.25</v>
      </c>
      <c r="I13" s="621">
        <v>1083195.25</v>
      </c>
      <c r="J13" s="621">
        <v>0</v>
      </c>
      <c r="K13" s="621">
        <v>0</v>
      </c>
      <c r="L13" s="621"/>
      <c r="M13" s="621">
        <v>49282.65668</v>
      </c>
      <c r="N13" s="631">
        <v>49282.65668</v>
      </c>
      <c r="O13" s="621">
        <v>0</v>
      </c>
      <c r="P13" s="621">
        <v>0</v>
      </c>
      <c r="Q13" s="621"/>
      <c r="R13" s="628">
        <v>14</v>
      </c>
      <c r="S13" s="629">
        <v>0.14083702388896999</v>
      </c>
      <c r="T13" s="629">
        <v>0.155918511944485</v>
      </c>
      <c r="U13" s="629">
        <v>0.13068155279827301</v>
      </c>
      <c r="V13" s="621">
        <v>132.12307732027301</v>
      </c>
    </row>
    <row r="14" spans="1:67" s="632" customFormat="1" x14ac:dyDescent="0.25">
      <c r="A14" s="639">
        <v>7.1</v>
      </c>
      <c r="B14" s="640" t="s">
        <v>739</v>
      </c>
      <c r="C14" s="627">
        <v>598733.56000000006</v>
      </c>
      <c r="D14" s="621">
        <v>598733.56000000006</v>
      </c>
      <c r="E14" s="621">
        <v>0</v>
      </c>
      <c r="F14" s="621">
        <v>0</v>
      </c>
      <c r="G14" s="621"/>
      <c r="H14" s="621">
        <v>603456.93999999994</v>
      </c>
      <c r="I14" s="621">
        <v>603456.93999999994</v>
      </c>
      <c r="J14" s="621">
        <v>0</v>
      </c>
      <c r="K14" s="621">
        <v>0</v>
      </c>
      <c r="L14" s="621"/>
      <c r="M14" s="621">
        <v>25075.276452999999</v>
      </c>
      <c r="N14" s="621">
        <v>25075.276452999999</v>
      </c>
      <c r="O14" s="621">
        <v>0</v>
      </c>
      <c r="P14" s="621">
        <v>0</v>
      </c>
      <c r="Q14" s="621"/>
      <c r="R14" s="628">
        <v>6</v>
      </c>
      <c r="S14" s="629">
        <v>0.14499999999999999</v>
      </c>
      <c r="T14" s="629">
        <v>0.158</v>
      </c>
      <c r="U14" s="629">
        <v>0.12807621438490899</v>
      </c>
      <c r="V14" s="621">
        <v>124.572576770208</v>
      </c>
      <c r="W14" s="623"/>
      <c r="X14" s="623"/>
      <c r="Y14" s="623"/>
      <c r="Z14" s="623"/>
      <c r="AA14" s="623"/>
      <c r="AB14" s="623"/>
      <c r="AC14" s="623"/>
      <c r="AD14" s="623"/>
      <c r="AE14" s="623"/>
      <c r="AF14" s="623"/>
      <c r="AG14" s="623"/>
      <c r="AH14" s="623"/>
      <c r="AI14" s="623"/>
      <c r="AJ14" s="623"/>
      <c r="AK14" s="623"/>
      <c r="AL14" s="623"/>
      <c r="AM14" s="623"/>
      <c r="AN14" s="623"/>
      <c r="AO14" s="623"/>
      <c r="AP14" s="623"/>
      <c r="AQ14" s="623"/>
      <c r="AR14" s="623"/>
      <c r="AS14" s="623"/>
      <c r="AT14" s="623"/>
      <c r="AU14" s="623"/>
      <c r="AV14" s="623"/>
      <c r="AW14" s="623"/>
      <c r="AX14" s="623"/>
      <c r="AY14" s="623"/>
      <c r="AZ14" s="623"/>
      <c r="BA14" s="623"/>
      <c r="BB14" s="623"/>
      <c r="BC14" s="623"/>
      <c r="BD14" s="623"/>
      <c r="BE14" s="623"/>
      <c r="BF14" s="623"/>
      <c r="BG14" s="623"/>
      <c r="BH14" s="623"/>
      <c r="BI14" s="623"/>
      <c r="BJ14" s="623"/>
      <c r="BK14" s="623"/>
      <c r="BL14" s="623"/>
      <c r="BM14" s="623"/>
      <c r="BN14" s="623"/>
      <c r="BO14" s="623"/>
    </row>
    <row r="15" spans="1:67" s="632" customFormat="1" ht="25.5" x14ac:dyDescent="0.25">
      <c r="A15" s="639">
        <v>7.2</v>
      </c>
      <c r="B15" s="640" t="s">
        <v>740</v>
      </c>
      <c r="C15" s="627">
        <v>207568.8</v>
      </c>
      <c r="D15" s="621">
        <v>207568.8</v>
      </c>
      <c r="E15" s="621">
        <v>0</v>
      </c>
      <c r="F15" s="621">
        <v>0</v>
      </c>
      <c r="G15" s="621"/>
      <c r="H15" s="621">
        <v>209858.48</v>
      </c>
      <c r="I15" s="621">
        <v>209858.48</v>
      </c>
      <c r="J15" s="621">
        <v>0</v>
      </c>
      <c r="K15" s="621">
        <v>0</v>
      </c>
      <c r="L15" s="621"/>
      <c r="M15" s="621">
        <v>10589.364895999999</v>
      </c>
      <c r="N15" s="621">
        <v>10589.364895999999</v>
      </c>
      <c r="O15" s="621">
        <v>0</v>
      </c>
      <c r="P15" s="621">
        <v>0</v>
      </c>
      <c r="Q15" s="621"/>
      <c r="R15" s="628">
        <v>3</v>
      </c>
      <c r="S15" s="629">
        <v>0</v>
      </c>
      <c r="T15" s="629">
        <v>0</v>
      </c>
      <c r="U15" s="629">
        <v>0.13693465251039599</v>
      </c>
      <c r="V15" s="621">
        <v>159.26729460304199</v>
      </c>
      <c r="W15" s="623"/>
      <c r="X15" s="623"/>
      <c r="Y15" s="623"/>
      <c r="Z15" s="623"/>
      <c r="AA15" s="623"/>
      <c r="AB15" s="623"/>
      <c r="AC15" s="623"/>
      <c r="AD15" s="623"/>
      <c r="AE15" s="623"/>
      <c r="AF15" s="623"/>
      <c r="AG15" s="623"/>
      <c r="AH15" s="623"/>
      <c r="AI15" s="623"/>
      <c r="AJ15" s="623"/>
      <c r="AK15" s="623"/>
      <c r="AL15" s="623"/>
      <c r="AM15" s="623"/>
      <c r="AN15" s="623"/>
      <c r="AO15" s="623"/>
      <c r="AP15" s="623"/>
      <c r="AQ15" s="623"/>
      <c r="AR15" s="623"/>
      <c r="AS15" s="623"/>
      <c r="AT15" s="623"/>
      <c r="AU15" s="623"/>
      <c r="AV15" s="623"/>
      <c r="AW15" s="623"/>
      <c r="AX15" s="623"/>
      <c r="AY15" s="623"/>
      <c r="AZ15" s="623"/>
      <c r="BA15" s="623"/>
      <c r="BB15" s="623"/>
      <c r="BC15" s="623"/>
      <c r="BD15" s="623"/>
      <c r="BE15" s="623"/>
      <c r="BF15" s="623"/>
      <c r="BG15" s="623"/>
      <c r="BH15" s="623"/>
      <c r="BI15" s="623"/>
      <c r="BJ15" s="623"/>
      <c r="BK15" s="623"/>
      <c r="BL15" s="623"/>
      <c r="BM15" s="623"/>
      <c r="BN15" s="623"/>
      <c r="BO15" s="623"/>
    </row>
    <row r="16" spans="1:67" s="632" customFormat="1" x14ac:dyDescent="0.25">
      <c r="A16" s="639">
        <v>7.3</v>
      </c>
      <c r="B16" s="640" t="s">
        <v>741</v>
      </c>
      <c r="C16" s="627">
        <v>265246.23</v>
      </c>
      <c r="D16" s="621">
        <v>265246.23</v>
      </c>
      <c r="E16" s="621">
        <v>0</v>
      </c>
      <c r="F16" s="621">
        <v>0</v>
      </c>
      <c r="G16" s="621"/>
      <c r="H16" s="621">
        <v>269879.83</v>
      </c>
      <c r="I16" s="621">
        <v>269879.83</v>
      </c>
      <c r="J16" s="621">
        <v>0</v>
      </c>
      <c r="K16" s="621">
        <v>0</v>
      </c>
      <c r="L16" s="621"/>
      <c r="M16" s="621">
        <v>13618.015331000001</v>
      </c>
      <c r="N16" s="621">
        <v>13618.015331000001</v>
      </c>
      <c r="O16" s="621">
        <v>0</v>
      </c>
      <c r="P16" s="621">
        <v>0</v>
      </c>
      <c r="Q16" s="621"/>
      <c r="R16" s="628">
        <v>5</v>
      </c>
      <c r="S16" s="629">
        <v>0.13500000000000001</v>
      </c>
      <c r="T16" s="629">
        <v>0.153</v>
      </c>
      <c r="U16" s="629">
        <v>0.13166914511848099</v>
      </c>
      <c r="V16" s="621">
        <v>127.92488557141699</v>
      </c>
      <c r="W16" s="623"/>
      <c r="X16" s="623"/>
      <c r="Y16" s="623"/>
      <c r="Z16" s="623"/>
      <c r="AA16" s="623"/>
      <c r="AB16" s="623"/>
      <c r="AC16" s="623"/>
      <c r="AD16" s="623"/>
      <c r="AE16" s="623"/>
      <c r="AF16" s="623"/>
      <c r="AG16" s="623"/>
      <c r="AH16" s="623"/>
      <c r="AI16" s="623"/>
      <c r="AJ16" s="623"/>
      <c r="AK16" s="623"/>
      <c r="AL16" s="623"/>
      <c r="AM16" s="623"/>
      <c r="AN16" s="623"/>
      <c r="AO16" s="623"/>
      <c r="AP16" s="623"/>
      <c r="AQ16" s="623"/>
      <c r="AR16" s="623"/>
      <c r="AS16" s="623"/>
      <c r="AT16" s="623"/>
      <c r="AU16" s="623"/>
      <c r="AV16" s="623"/>
      <c r="AW16" s="623"/>
      <c r="AX16" s="623"/>
      <c r="AY16" s="623"/>
      <c r="AZ16" s="623"/>
      <c r="BA16" s="623"/>
      <c r="BB16" s="623"/>
      <c r="BC16" s="623"/>
      <c r="BD16" s="623"/>
      <c r="BE16" s="623"/>
      <c r="BF16" s="623"/>
      <c r="BG16" s="623"/>
      <c r="BH16" s="623"/>
      <c r="BI16" s="623"/>
      <c r="BJ16" s="623"/>
      <c r="BK16" s="623"/>
      <c r="BL16" s="623"/>
      <c r="BM16" s="623"/>
      <c r="BN16" s="623"/>
      <c r="BO16" s="623"/>
    </row>
    <row r="17" spans="1:22" x14ac:dyDescent="0.25">
      <c r="A17" s="625">
        <v>8</v>
      </c>
      <c r="B17" s="630" t="s">
        <v>742</v>
      </c>
      <c r="C17" s="627">
        <v>0</v>
      </c>
      <c r="D17" s="621">
        <v>0</v>
      </c>
      <c r="E17" s="621">
        <v>0</v>
      </c>
      <c r="F17" s="621">
        <v>0</v>
      </c>
      <c r="G17" s="621"/>
      <c r="H17" s="621">
        <v>0</v>
      </c>
      <c r="I17" s="621">
        <v>0</v>
      </c>
      <c r="J17" s="621">
        <v>0</v>
      </c>
      <c r="K17" s="621">
        <v>0</v>
      </c>
      <c r="L17" s="621"/>
      <c r="M17" s="621">
        <v>0</v>
      </c>
      <c r="N17" s="621">
        <v>0</v>
      </c>
      <c r="O17" s="621">
        <v>0</v>
      </c>
      <c r="P17" s="621">
        <v>0</v>
      </c>
      <c r="Q17" s="621"/>
      <c r="R17" s="628">
        <v>0</v>
      </c>
      <c r="S17" s="629">
        <v>0</v>
      </c>
      <c r="T17" s="629">
        <v>0</v>
      </c>
      <c r="U17" s="629">
        <v>0</v>
      </c>
      <c r="V17" s="621">
        <v>0</v>
      </c>
    </row>
    <row r="18" spans="1:22" x14ac:dyDescent="0.25">
      <c r="A18" s="633">
        <v>9</v>
      </c>
      <c r="B18" s="634" t="s">
        <v>743</v>
      </c>
      <c r="C18" s="627">
        <v>0</v>
      </c>
      <c r="D18" s="621">
        <v>0</v>
      </c>
      <c r="E18" s="635">
        <v>0</v>
      </c>
      <c r="F18" s="635">
        <v>0</v>
      </c>
      <c r="G18" s="635"/>
      <c r="H18" s="621">
        <v>0</v>
      </c>
      <c r="I18" s="621">
        <v>0</v>
      </c>
      <c r="J18" s="635">
        <v>0</v>
      </c>
      <c r="K18" s="635">
        <v>0</v>
      </c>
      <c r="L18" s="635"/>
      <c r="M18" s="621">
        <v>0</v>
      </c>
      <c r="N18" s="621">
        <v>0</v>
      </c>
      <c r="O18" s="635">
        <v>0</v>
      </c>
      <c r="P18" s="635">
        <v>0</v>
      </c>
      <c r="Q18" s="635"/>
      <c r="R18" s="636">
        <v>0</v>
      </c>
      <c r="S18" s="637">
        <v>0</v>
      </c>
      <c r="T18" s="637">
        <v>0</v>
      </c>
      <c r="U18" s="637">
        <v>0</v>
      </c>
      <c r="V18" s="635">
        <v>0</v>
      </c>
    </row>
    <row r="19" spans="1:22" x14ac:dyDescent="0.25">
      <c r="A19" s="625">
        <v>10</v>
      </c>
      <c r="B19" s="638" t="s">
        <v>744</v>
      </c>
      <c r="C19" s="627">
        <v>8249855.7399999993</v>
      </c>
      <c r="D19" s="621">
        <v>7838862.0899999999</v>
      </c>
      <c r="E19" s="621">
        <v>224323.97</v>
      </c>
      <c r="F19" s="621">
        <v>186669.68</v>
      </c>
      <c r="G19" s="621"/>
      <c r="H19" s="621">
        <v>8319252.8739999998</v>
      </c>
      <c r="I19" s="621">
        <v>7899803.5839999998</v>
      </c>
      <c r="J19" s="621">
        <v>230610.35</v>
      </c>
      <c r="K19" s="621">
        <v>188838.94</v>
      </c>
      <c r="L19" s="621"/>
      <c r="M19" s="621">
        <v>402765.74572158599</v>
      </c>
      <c r="N19" s="621">
        <v>276350.39323095401</v>
      </c>
      <c r="O19" s="621">
        <v>28770.694670829998</v>
      </c>
      <c r="P19" s="621">
        <v>97644.657819802</v>
      </c>
      <c r="Q19" s="621"/>
      <c r="R19" s="628">
        <v>774</v>
      </c>
      <c r="S19" s="629">
        <v>0.17777331671832999</v>
      </c>
      <c r="T19" s="629">
        <v>0.20904148794152</v>
      </c>
      <c r="U19" s="629">
        <v>0.14602213318583401</v>
      </c>
      <c r="V19" s="621">
        <v>71.947458654470907</v>
      </c>
    </row>
    <row r="20" spans="1:22" ht="25.5" x14ac:dyDescent="0.25">
      <c r="A20" s="639">
        <v>10.1</v>
      </c>
      <c r="B20" s="640" t="s">
        <v>745</v>
      </c>
      <c r="C20" s="628"/>
      <c r="D20" s="621"/>
      <c r="E20" s="621"/>
      <c r="F20" s="621"/>
      <c r="G20" s="621"/>
      <c r="H20" s="621">
        <v>0</v>
      </c>
      <c r="I20" s="621"/>
      <c r="J20" s="621"/>
      <c r="K20" s="621"/>
      <c r="L20" s="621"/>
      <c r="M20" s="621">
        <v>0</v>
      </c>
      <c r="N20" s="621"/>
      <c r="O20" s="621"/>
      <c r="P20" s="621"/>
      <c r="Q20" s="621"/>
      <c r="R20" s="628"/>
      <c r="S20" s="628"/>
      <c r="T20" s="628"/>
      <c r="U20" s="628"/>
      <c r="V20" s="621"/>
    </row>
  </sheetData>
  <mergeCells count="9">
    <mergeCell ref="T5:T6"/>
    <mergeCell ref="U5:U6"/>
    <mergeCell ref="V5:V6"/>
    <mergeCell ref="A5:B6"/>
    <mergeCell ref="C5:G5"/>
    <mergeCell ref="H5:L5"/>
    <mergeCell ref="M5:Q5"/>
    <mergeCell ref="R5:R6"/>
    <mergeCell ref="S5:S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C3E58-E5C7-42A1-A2A4-4E12435F1DD3}">
  <dimension ref="A1:K81"/>
  <sheetViews>
    <sheetView topLeftCell="A45" zoomScaleNormal="100" workbookViewId="0">
      <selection activeCell="H69" sqref="H69"/>
    </sheetView>
  </sheetViews>
  <sheetFormatPr defaultRowHeight="15" x14ac:dyDescent="0.25"/>
  <cols>
    <col min="1" max="1" width="9.140625" style="127"/>
    <col min="2" max="2" width="69.28515625" style="128" customWidth="1"/>
    <col min="3" max="3" width="15.7109375" style="42" customWidth="1"/>
    <col min="4" max="4" width="14.42578125" style="42" customWidth="1"/>
    <col min="5" max="8" width="13.140625" style="42" customWidth="1"/>
    <col min="9" max="9" width="3" customWidth="1"/>
    <col min="10" max="10" width="13.7109375" customWidth="1"/>
    <col min="11" max="11" width="13.140625" bestFit="1" customWidth="1"/>
  </cols>
  <sheetData>
    <row r="1" spans="1:8" ht="15.75" x14ac:dyDescent="0.3">
      <c r="A1" s="20" t="s">
        <v>41</v>
      </c>
      <c r="B1" s="21" t="str">
        <f>Info!C2</f>
        <v>სს სილქ ბანკი</v>
      </c>
      <c r="C1" s="95"/>
      <c r="D1" s="96"/>
      <c r="E1" s="96"/>
      <c r="F1" s="96"/>
      <c r="G1" s="96"/>
    </row>
    <row r="2" spans="1:8" ht="15.75" x14ac:dyDescent="0.3">
      <c r="A2" s="20" t="s">
        <v>42</v>
      </c>
      <c r="B2" s="23">
        <f>'1. key ratios'!B2</f>
        <v>45107</v>
      </c>
      <c r="C2" s="95"/>
      <c r="D2" s="96"/>
      <c r="E2" s="96"/>
      <c r="F2" s="96"/>
      <c r="G2" s="96"/>
    </row>
    <row r="3" spans="1:8" ht="16.5" thickBot="1" x14ac:dyDescent="0.35">
      <c r="A3" s="20"/>
      <c r="B3" s="22"/>
      <c r="C3" s="95"/>
      <c r="D3" s="96"/>
      <c r="E3" s="96"/>
      <c r="F3" s="96"/>
      <c r="G3" s="96"/>
    </row>
    <row r="4" spans="1:8" ht="21" customHeight="1" x14ac:dyDescent="0.25">
      <c r="A4" s="721" t="s">
        <v>46</v>
      </c>
      <c r="B4" s="722" t="s">
        <v>87</v>
      </c>
      <c r="C4" s="724" t="s">
        <v>88</v>
      </c>
      <c r="D4" s="724"/>
      <c r="E4" s="724"/>
      <c r="F4" s="724" t="s">
        <v>89</v>
      </c>
      <c r="G4" s="724"/>
      <c r="H4" s="725"/>
    </row>
    <row r="5" spans="1:8" ht="21" customHeight="1" x14ac:dyDescent="0.25">
      <c r="A5" s="721"/>
      <c r="B5" s="723"/>
      <c r="C5" s="98" t="s">
        <v>90</v>
      </c>
      <c r="D5" s="98" t="s">
        <v>91</v>
      </c>
      <c r="E5" s="98" t="s">
        <v>92</v>
      </c>
      <c r="F5" s="98" t="s">
        <v>90</v>
      </c>
      <c r="G5" s="98" t="s">
        <v>91</v>
      </c>
      <c r="H5" s="98" t="s">
        <v>92</v>
      </c>
    </row>
    <row r="6" spans="1:8" ht="26.45" customHeight="1" x14ac:dyDescent="0.25">
      <c r="A6" s="721"/>
      <c r="B6" s="99" t="s">
        <v>93</v>
      </c>
      <c r="C6" s="726"/>
      <c r="D6" s="727"/>
      <c r="E6" s="727"/>
      <c r="F6" s="727"/>
      <c r="G6" s="727"/>
      <c r="H6" s="728"/>
    </row>
    <row r="7" spans="1:8" ht="23.1" customHeight="1" x14ac:dyDescent="0.25">
      <c r="A7" s="100">
        <v>1</v>
      </c>
      <c r="B7" s="101" t="s">
        <v>94</v>
      </c>
      <c r="C7" s="102">
        <f>SUM(C8:C10)</f>
        <v>64937554.159999974</v>
      </c>
      <c r="D7" s="102">
        <f>SUM(D8:D10)</f>
        <v>4887352.290000001</v>
      </c>
      <c r="E7" s="103">
        <f>C7+D7</f>
        <v>69824906.449999973</v>
      </c>
      <c r="F7" s="102">
        <f>SUM(F8:F10)</f>
        <v>1400867.67000006</v>
      </c>
      <c r="G7" s="102">
        <f>SUM(G8:G10)</f>
        <v>2773831.4600000158</v>
      </c>
      <c r="H7" s="103">
        <f>F7+G7</f>
        <v>4174699.1300000758</v>
      </c>
    </row>
    <row r="8" spans="1:8" x14ac:dyDescent="0.25">
      <c r="A8" s="100">
        <v>1.1000000000000001</v>
      </c>
      <c r="B8" s="104" t="s">
        <v>95</v>
      </c>
      <c r="C8" s="102">
        <v>953605.2799999984</v>
      </c>
      <c r="D8" s="102">
        <v>1265069.1200000029</v>
      </c>
      <c r="E8" s="103">
        <f t="shared" ref="E8:E36" si="0">C8+D8</f>
        <v>2218674.4000000013</v>
      </c>
      <c r="F8" s="102">
        <v>798980.38000000268</v>
      </c>
      <c r="G8" s="102">
        <v>781777.98000000231</v>
      </c>
      <c r="H8" s="103">
        <f t="shared" ref="H8:H36" si="1">F8+G8</f>
        <v>1580758.360000005</v>
      </c>
    </row>
    <row r="9" spans="1:8" x14ac:dyDescent="0.25">
      <c r="A9" s="100">
        <v>1.2</v>
      </c>
      <c r="B9" s="104" t="s">
        <v>96</v>
      </c>
      <c r="C9" s="102">
        <v>4628333.969999969</v>
      </c>
      <c r="D9" s="102">
        <v>1968637.9200000013</v>
      </c>
      <c r="E9" s="103">
        <f t="shared" si="0"/>
        <v>6596971.8899999708</v>
      </c>
      <c r="F9" s="102">
        <v>383568.19000005722</v>
      </c>
      <c r="G9" s="102">
        <v>1501517.1900000002</v>
      </c>
      <c r="H9" s="103">
        <f t="shared" si="1"/>
        <v>1885085.3800000574</v>
      </c>
    </row>
    <row r="10" spans="1:8" x14ac:dyDescent="0.25">
      <c r="A10" s="100">
        <v>1.3</v>
      </c>
      <c r="B10" s="104" t="s">
        <v>97</v>
      </c>
      <c r="C10" s="105">
        <v>59355614.910000004</v>
      </c>
      <c r="D10" s="105">
        <v>1653645.2499999967</v>
      </c>
      <c r="E10" s="103">
        <f t="shared" si="0"/>
        <v>61009260.160000004</v>
      </c>
      <c r="F10" s="102">
        <v>218319.10000000009</v>
      </c>
      <c r="G10" s="102">
        <v>490536.29000001331</v>
      </c>
      <c r="H10" s="103">
        <f t="shared" si="1"/>
        <v>708855.3900000134</v>
      </c>
    </row>
    <row r="11" spans="1:8" x14ac:dyDescent="0.25">
      <c r="A11" s="100">
        <v>2</v>
      </c>
      <c r="B11" s="106" t="s">
        <v>98</v>
      </c>
      <c r="C11" s="102">
        <f>C12</f>
        <v>0</v>
      </c>
      <c r="D11" s="102">
        <f>D12</f>
        <v>13720</v>
      </c>
      <c r="E11" s="103">
        <f t="shared" si="0"/>
        <v>13720</v>
      </c>
      <c r="F11" s="102">
        <f>F12</f>
        <v>59227.5</v>
      </c>
      <c r="G11" s="102">
        <f>G12</f>
        <v>0</v>
      </c>
      <c r="H11" s="103">
        <f t="shared" si="1"/>
        <v>59227.5</v>
      </c>
    </row>
    <row r="12" spans="1:8" x14ac:dyDescent="0.25">
      <c r="A12" s="100">
        <v>2.1</v>
      </c>
      <c r="B12" s="107" t="s">
        <v>99</v>
      </c>
      <c r="C12" s="102">
        <v>0</v>
      </c>
      <c r="D12" s="102">
        <v>13720</v>
      </c>
      <c r="E12" s="103">
        <f t="shared" si="0"/>
        <v>13720</v>
      </c>
      <c r="F12" s="102">
        <v>59227.5</v>
      </c>
      <c r="G12" s="102">
        <v>0</v>
      </c>
      <c r="H12" s="103">
        <f t="shared" si="1"/>
        <v>59227.5</v>
      </c>
    </row>
    <row r="13" spans="1:8" ht="26.45" customHeight="1" x14ac:dyDescent="0.25">
      <c r="A13" s="100">
        <v>3</v>
      </c>
      <c r="B13" s="108" t="s">
        <v>100</v>
      </c>
      <c r="C13" s="102"/>
      <c r="D13" s="102"/>
      <c r="E13" s="103">
        <f t="shared" si="0"/>
        <v>0</v>
      </c>
      <c r="F13" s="102"/>
      <c r="G13" s="102"/>
      <c r="H13" s="103">
        <f t="shared" si="1"/>
        <v>0</v>
      </c>
    </row>
    <row r="14" spans="1:8" ht="26.45" customHeight="1" x14ac:dyDescent="0.25">
      <c r="A14" s="100">
        <v>4</v>
      </c>
      <c r="B14" s="109" t="s">
        <v>101</v>
      </c>
      <c r="C14" s="102"/>
      <c r="D14" s="102"/>
      <c r="E14" s="103">
        <f t="shared" si="0"/>
        <v>0</v>
      </c>
      <c r="F14" s="102"/>
      <c r="G14" s="102"/>
      <c r="H14" s="103">
        <f t="shared" si="1"/>
        <v>0</v>
      </c>
    </row>
    <row r="15" spans="1:8" ht="24.6" customHeight="1" x14ac:dyDescent="0.25">
      <c r="A15" s="100">
        <v>5</v>
      </c>
      <c r="B15" s="109" t="s">
        <v>102</v>
      </c>
      <c r="C15" s="110">
        <f>SUM(C16:C18)</f>
        <v>20000</v>
      </c>
      <c r="D15" s="110">
        <f>SUM(D16:D18)</f>
        <v>0</v>
      </c>
      <c r="E15" s="111">
        <f t="shared" si="0"/>
        <v>20000</v>
      </c>
      <c r="F15" s="110">
        <f>SUM(F16:F18)</f>
        <v>20000</v>
      </c>
      <c r="G15" s="110">
        <f>SUM(G16:G18)</f>
        <v>0</v>
      </c>
      <c r="H15" s="111">
        <f t="shared" si="1"/>
        <v>20000</v>
      </c>
    </row>
    <row r="16" spans="1:8" x14ac:dyDescent="0.25">
      <c r="A16" s="100">
        <v>5.0999999999999996</v>
      </c>
      <c r="B16" s="112" t="s">
        <v>103</v>
      </c>
      <c r="C16" s="102">
        <v>20000</v>
      </c>
      <c r="D16" s="102"/>
      <c r="E16" s="103">
        <f t="shared" si="0"/>
        <v>20000</v>
      </c>
      <c r="F16" s="102">
        <v>20000</v>
      </c>
      <c r="G16" s="102">
        <v>0</v>
      </c>
      <c r="H16" s="103">
        <f t="shared" si="1"/>
        <v>20000</v>
      </c>
    </row>
    <row r="17" spans="1:8" x14ac:dyDescent="0.25">
      <c r="A17" s="100">
        <v>5.2</v>
      </c>
      <c r="B17" s="112" t="s">
        <v>104</v>
      </c>
      <c r="C17" s="102"/>
      <c r="D17" s="102"/>
      <c r="E17" s="103">
        <f t="shared" si="0"/>
        <v>0</v>
      </c>
      <c r="F17" s="102"/>
      <c r="G17" s="102"/>
      <c r="H17" s="103">
        <f t="shared" si="1"/>
        <v>0</v>
      </c>
    </row>
    <row r="18" spans="1:8" x14ac:dyDescent="0.25">
      <c r="A18" s="100">
        <v>5.3</v>
      </c>
      <c r="B18" s="112" t="s">
        <v>105</v>
      </c>
      <c r="C18" s="102"/>
      <c r="D18" s="102"/>
      <c r="E18" s="103">
        <f t="shared" si="0"/>
        <v>0</v>
      </c>
      <c r="F18" s="102"/>
      <c r="G18" s="102"/>
      <c r="H18" s="103">
        <f t="shared" si="1"/>
        <v>0</v>
      </c>
    </row>
    <row r="19" spans="1:8" x14ac:dyDescent="0.25">
      <c r="A19" s="100">
        <v>6</v>
      </c>
      <c r="B19" s="108" t="s">
        <v>106</v>
      </c>
      <c r="C19" s="102">
        <f>SUM(C20:C21)</f>
        <v>37550930.86545413</v>
      </c>
      <c r="D19" s="102">
        <f>SUM(D20:D21)</f>
        <v>8622718.0032036975</v>
      </c>
      <c r="E19" s="103">
        <f t="shared" si="0"/>
        <v>46173648.868657827</v>
      </c>
      <c r="F19" s="102">
        <f>SUM(F20:F21)</f>
        <v>47208656.034176812</v>
      </c>
      <c r="G19" s="102">
        <f>SUM(G20:G21)</f>
        <v>2966098.3972576768</v>
      </c>
      <c r="H19" s="103">
        <f t="shared" si="1"/>
        <v>50174754.43143449</v>
      </c>
    </row>
    <row r="20" spans="1:8" x14ac:dyDescent="0.25">
      <c r="A20" s="100">
        <v>6.1</v>
      </c>
      <c r="B20" s="112" t="s">
        <v>104</v>
      </c>
      <c r="C20" s="102">
        <v>25010350.438634034</v>
      </c>
      <c r="D20" s="102"/>
      <c r="E20" s="103">
        <f t="shared" si="0"/>
        <v>25010350.438634034</v>
      </c>
      <c r="F20" s="102">
        <v>34742273.597264037</v>
      </c>
      <c r="G20" s="102"/>
      <c r="H20" s="103">
        <f t="shared" si="1"/>
        <v>34742273.597264037</v>
      </c>
    </row>
    <row r="21" spans="1:8" x14ac:dyDescent="0.25">
      <c r="A21" s="100">
        <v>6.2</v>
      </c>
      <c r="B21" s="112" t="s">
        <v>105</v>
      </c>
      <c r="C21" s="102">
        <v>12540580.426820096</v>
      </c>
      <c r="D21" s="102">
        <v>8622718.0032036975</v>
      </c>
      <c r="E21" s="103">
        <f t="shared" si="0"/>
        <v>21163298.430023793</v>
      </c>
      <c r="F21" s="105">
        <v>12466382.436912779</v>
      </c>
      <c r="G21" s="105">
        <v>2966098.3972576768</v>
      </c>
      <c r="H21" s="103">
        <f t="shared" si="1"/>
        <v>15432480.834170455</v>
      </c>
    </row>
    <row r="22" spans="1:8" x14ac:dyDescent="0.25">
      <c r="A22" s="100">
        <v>7</v>
      </c>
      <c r="B22" s="113" t="s">
        <v>107</v>
      </c>
      <c r="C22" s="102"/>
      <c r="D22" s="102"/>
      <c r="E22" s="103">
        <f t="shared" si="0"/>
        <v>0</v>
      </c>
      <c r="F22" s="102"/>
      <c r="G22" s="102"/>
      <c r="H22" s="103">
        <f t="shared" si="1"/>
        <v>0</v>
      </c>
    </row>
    <row r="23" spans="1:8" ht="21" x14ac:dyDescent="0.25">
      <c r="A23" s="100">
        <v>8</v>
      </c>
      <c r="B23" s="114" t="s">
        <v>108</v>
      </c>
      <c r="C23" s="102">
        <v>3389411.9415073614</v>
      </c>
      <c r="D23" s="102">
        <v>0</v>
      </c>
      <c r="E23" s="103">
        <f t="shared" si="0"/>
        <v>3389411.9415073614</v>
      </c>
      <c r="F23" s="102">
        <v>3512670.3689119108</v>
      </c>
      <c r="G23" s="102"/>
      <c r="H23" s="103">
        <f t="shared" si="1"/>
        <v>3512670.3689119108</v>
      </c>
    </row>
    <row r="24" spans="1:8" x14ac:dyDescent="0.25">
      <c r="A24" s="100">
        <v>9</v>
      </c>
      <c r="B24" s="109" t="s">
        <v>109</v>
      </c>
      <c r="C24" s="102">
        <f>SUM(C25:C26)</f>
        <v>19081042.57</v>
      </c>
      <c r="D24" s="102">
        <f>SUM(D25:D26)</f>
        <v>0</v>
      </c>
      <c r="E24" s="103">
        <f>C24+D24</f>
        <v>19081042.57</v>
      </c>
      <c r="F24" s="102">
        <f>SUM(F25:F26)</f>
        <v>20466698.859999999</v>
      </c>
      <c r="G24" s="102">
        <f>SUM(G25:G26)</f>
        <v>0</v>
      </c>
      <c r="H24" s="103">
        <f t="shared" si="1"/>
        <v>20466698.859999999</v>
      </c>
    </row>
    <row r="25" spans="1:8" x14ac:dyDescent="0.25">
      <c r="A25" s="100">
        <v>9.1</v>
      </c>
      <c r="B25" s="115" t="s">
        <v>110</v>
      </c>
      <c r="C25" s="102">
        <v>19081042.57</v>
      </c>
      <c r="D25" s="102"/>
      <c r="E25" s="103">
        <f>C25+D25</f>
        <v>19081042.57</v>
      </c>
      <c r="F25" s="102">
        <v>20466698.859999999</v>
      </c>
      <c r="G25" s="102"/>
      <c r="H25" s="103">
        <f t="shared" si="1"/>
        <v>20466698.859999999</v>
      </c>
    </row>
    <row r="26" spans="1:8" x14ac:dyDescent="0.25">
      <c r="A26" s="100">
        <v>9.1999999999999993</v>
      </c>
      <c r="B26" s="115" t="s">
        <v>111</v>
      </c>
      <c r="C26" s="102"/>
      <c r="D26" s="102"/>
      <c r="E26" s="103">
        <f>C26+D26</f>
        <v>0</v>
      </c>
      <c r="F26" s="102"/>
      <c r="G26" s="102"/>
      <c r="H26" s="103">
        <f t="shared" si="1"/>
        <v>0</v>
      </c>
    </row>
    <row r="27" spans="1:8" x14ac:dyDescent="0.25">
      <c r="A27" s="100">
        <v>10</v>
      </c>
      <c r="B27" s="109" t="s">
        <v>112</v>
      </c>
      <c r="C27" s="102">
        <f>SUM(C28:C29)</f>
        <v>795839.35999999987</v>
      </c>
      <c r="D27" s="102">
        <f>SUM(D28:D29)</f>
        <v>0</v>
      </c>
      <c r="E27" s="103">
        <f t="shared" si="0"/>
        <v>795839.35999999987</v>
      </c>
      <c r="F27" s="102">
        <v>306121.2199999998</v>
      </c>
      <c r="G27" s="102">
        <f>SUM(G28:G29)</f>
        <v>0</v>
      </c>
      <c r="H27" s="103">
        <f t="shared" si="1"/>
        <v>306121.2199999998</v>
      </c>
    </row>
    <row r="28" spans="1:8" x14ac:dyDescent="0.25">
      <c r="A28" s="100">
        <v>10.1</v>
      </c>
      <c r="B28" s="115" t="s">
        <v>113</v>
      </c>
      <c r="C28" s="102"/>
      <c r="D28" s="102"/>
      <c r="E28" s="103">
        <f t="shared" si="0"/>
        <v>0</v>
      </c>
      <c r="F28" s="102"/>
      <c r="G28" s="102"/>
      <c r="H28" s="103">
        <f t="shared" si="1"/>
        <v>0</v>
      </c>
    </row>
    <row r="29" spans="1:8" x14ac:dyDescent="0.25">
      <c r="A29" s="100">
        <v>10.199999999999999</v>
      </c>
      <c r="B29" s="115" t="s">
        <v>114</v>
      </c>
      <c r="C29" s="102">
        <v>795839.35999999987</v>
      </c>
      <c r="D29" s="102"/>
      <c r="E29" s="103">
        <f t="shared" si="0"/>
        <v>795839.35999999987</v>
      </c>
      <c r="F29" s="102">
        <v>306121.2199999998</v>
      </c>
      <c r="G29" s="102"/>
      <c r="H29" s="103">
        <f t="shared" si="1"/>
        <v>306121.2199999998</v>
      </c>
    </row>
    <row r="30" spans="1:8" x14ac:dyDescent="0.25">
      <c r="A30" s="100">
        <v>11</v>
      </c>
      <c r="B30" s="109" t="s">
        <v>115</v>
      </c>
      <c r="C30" s="102">
        <f>SUM(C31:C32)</f>
        <v>45248.5</v>
      </c>
      <c r="D30" s="102">
        <f>SUM(D31:D32)</f>
        <v>0</v>
      </c>
      <c r="E30" s="103">
        <f t="shared" si="0"/>
        <v>45248.5</v>
      </c>
      <c r="F30" s="102">
        <f>SUM(F31:F32)</f>
        <v>45248.5</v>
      </c>
      <c r="G30" s="102">
        <f>SUM(G31:G32)</f>
        <v>0</v>
      </c>
      <c r="H30" s="103">
        <f t="shared" si="1"/>
        <v>45248.5</v>
      </c>
    </row>
    <row r="31" spans="1:8" x14ac:dyDescent="0.25">
      <c r="A31" s="100">
        <v>11.1</v>
      </c>
      <c r="B31" s="115" t="s">
        <v>116</v>
      </c>
      <c r="C31" s="102">
        <v>45248.5</v>
      </c>
      <c r="D31" s="102"/>
      <c r="E31" s="103">
        <f t="shared" si="0"/>
        <v>45248.5</v>
      </c>
      <c r="F31" s="102">
        <v>45248.5</v>
      </c>
      <c r="G31" s="102">
        <v>0</v>
      </c>
      <c r="H31" s="103">
        <f t="shared" si="1"/>
        <v>45248.5</v>
      </c>
    </row>
    <row r="32" spans="1:8" x14ac:dyDescent="0.25">
      <c r="A32" s="100">
        <v>11.2</v>
      </c>
      <c r="B32" s="115" t="s">
        <v>117</v>
      </c>
      <c r="C32" s="102"/>
      <c r="D32" s="102"/>
      <c r="E32" s="103">
        <f t="shared" si="0"/>
        <v>0</v>
      </c>
      <c r="F32" s="102"/>
      <c r="G32" s="102"/>
      <c r="H32" s="103">
        <f t="shared" si="1"/>
        <v>0</v>
      </c>
    </row>
    <row r="33" spans="1:11" x14ac:dyDescent="0.25">
      <c r="A33" s="100">
        <v>13</v>
      </c>
      <c r="B33" s="109" t="s">
        <v>118</v>
      </c>
      <c r="C33" s="105">
        <v>1502195.3199999998</v>
      </c>
      <c r="D33" s="105">
        <v>223653.14</v>
      </c>
      <c r="E33" s="103">
        <f t="shared" si="0"/>
        <v>1725848.46</v>
      </c>
      <c r="F33" s="102">
        <v>1649439.41</v>
      </c>
      <c r="G33" s="102">
        <v>31132.97</v>
      </c>
      <c r="H33" s="103">
        <f t="shared" si="1"/>
        <v>1680572.38</v>
      </c>
    </row>
    <row r="34" spans="1:11" x14ac:dyDescent="0.25">
      <c r="A34" s="100">
        <v>13.1</v>
      </c>
      <c r="B34" s="116" t="s">
        <v>119</v>
      </c>
      <c r="C34" s="102"/>
      <c r="D34" s="102"/>
      <c r="E34" s="103">
        <f t="shared" si="0"/>
        <v>0</v>
      </c>
      <c r="F34" s="102"/>
      <c r="G34" s="102"/>
      <c r="H34" s="103">
        <f t="shared" si="1"/>
        <v>0</v>
      </c>
    </row>
    <row r="35" spans="1:11" x14ac:dyDescent="0.25">
      <c r="A35" s="100">
        <v>13.2</v>
      </c>
      <c r="B35" s="116" t="s">
        <v>120</v>
      </c>
      <c r="C35" s="102"/>
      <c r="D35" s="102"/>
      <c r="E35" s="103">
        <f t="shared" si="0"/>
        <v>0</v>
      </c>
      <c r="F35" s="102"/>
      <c r="G35" s="102"/>
      <c r="H35" s="103">
        <f t="shared" si="1"/>
        <v>0</v>
      </c>
    </row>
    <row r="36" spans="1:11" x14ac:dyDescent="0.25">
      <c r="A36" s="100">
        <v>14</v>
      </c>
      <c r="B36" s="117" t="s">
        <v>121</v>
      </c>
      <c r="C36" s="102">
        <f>SUM(C7,C11,C13,C14,C15,C19,C22,C23,C24,C27,C30,C33)</f>
        <v>127322222.71696146</v>
      </c>
      <c r="D36" s="102">
        <f>SUM(D7,D11,D13,D14,D15,D19,D22,D23,D24,D27,D30,D33)</f>
        <v>13747443.433203699</v>
      </c>
      <c r="E36" s="103">
        <f t="shared" si="0"/>
        <v>141069666.15016517</v>
      </c>
      <c r="F36" s="102">
        <f>SUM(F7,F11,F13,F14,F15,F19,F22,F23,F24,F27,F30,F33)</f>
        <v>74668929.563088775</v>
      </c>
      <c r="G36" s="102">
        <f>SUM(G7,G11,G13,G14,G15,G19,G22,G23,G24,G27,G30,G33)</f>
        <v>5771062.8272576919</v>
      </c>
      <c r="H36" s="103">
        <f t="shared" si="1"/>
        <v>80439992.390346467</v>
      </c>
    </row>
    <row r="37" spans="1:11" ht="22.5" customHeight="1" x14ac:dyDescent="0.25">
      <c r="A37" s="100"/>
      <c r="B37" s="119" t="s">
        <v>122</v>
      </c>
      <c r="C37" s="694"/>
      <c r="D37" s="695"/>
      <c r="E37" s="695"/>
      <c r="F37" s="695"/>
      <c r="G37" s="695"/>
      <c r="H37" s="696"/>
    </row>
    <row r="38" spans="1:11" x14ac:dyDescent="0.25">
      <c r="A38" s="100">
        <v>15</v>
      </c>
      <c r="B38" s="120" t="s">
        <v>123</v>
      </c>
      <c r="C38" s="102">
        <f>C39</f>
        <v>12530</v>
      </c>
      <c r="D38" s="102">
        <f>D39</f>
        <v>217453.9425461124</v>
      </c>
      <c r="E38" s="103">
        <f>C38+D38</f>
        <v>229983.9425461124</v>
      </c>
      <c r="F38" s="102">
        <f>F39</f>
        <v>13185</v>
      </c>
      <c r="G38" s="102">
        <f>G39</f>
        <v>660</v>
      </c>
      <c r="H38" s="103">
        <f>F38+G38</f>
        <v>13845</v>
      </c>
      <c r="K38" s="118"/>
    </row>
    <row r="39" spans="1:11" x14ac:dyDescent="0.25">
      <c r="A39" s="100">
        <v>15.1</v>
      </c>
      <c r="B39" s="107" t="s">
        <v>99</v>
      </c>
      <c r="C39" s="102">
        <v>12530</v>
      </c>
      <c r="D39" s="102">
        <v>217453.9425461124</v>
      </c>
      <c r="E39" s="103">
        <f t="shared" ref="E39:E53" si="2">C39+D39</f>
        <v>229983.9425461124</v>
      </c>
      <c r="F39" s="102">
        <v>13185</v>
      </c>
      <c r="G39" s="102">
        <v>660</v>
      </c>
      <c r="H39" s="103">
        <f t="shared" ref="H39:H53" si="3">F39+G39</f>
        <v>13845</v>
      </c>
    </row>
    <row r="40" spans="1:11" ht="24" customHeight="1" x14ac:dyDescent="0.25">
      <c r="A40" s="100">
        <v>16</v>
      </c>
      <c r="B40" s="113" t="s">
        <v>124</v>
      </c>
      <c r="C40" s="102"/>
      <c r="D40" s="102"/>
      <c r="E40" s="103">
        <f t="shared" si="2"/>
        <v>0</v>
      </c>
      <c r="F40" s="102"/>
      <c r="G40" s="102"/>
      <c r="H40" s="103">
        <f t="shared" si="3"/>
        <v>0</v>
      </c>
    </row>
    <row r="41" spans="1:11" ht="21" x14ac:dyDescent="0.25">
      <c r="A41" s="100">
        <v>17</v>
      </c>
      <c r="B41" s="113" t="s">
        <v>125</v>
      </c>
      <c r="C41" s="102">
        <f>SUM(C42:C45)</f>
        <v>66435760.125296876</v>
      </c>
      <c r="D41" s="102">
        <f>SUM(D42:D45)</f>
        <v>14163377.689999999</v>
      </c>
      <c r="E41" s="103">
        <f t="shared" si="2"/>
        <v>80599137.815296873</v>
      </c>
      <c r="F41" s="102">
        <f>SUM(F42:F45)</f>
        <v>14922002.721980816</v>
      </c>
      <c r="G41" s="102">
        <f>SUM(G42:G45)</f>
        <v>2321299.9899999993</v>
      </c>
      <c r="H41" s="103">
        <f t="shared" si="3"/>
        <v>17243302.711980816</v>
      </c>
      <c r="K41" s="121"/>
    </row>
    <row r="42" spans="1:11" x14ac:dyDescent="0.25">
      <c r="A42" s="100">
        <v>17.100000000000001</v>
      </c>
      <c r="B42" s="122" t="s">
        <v>126</v>
      </c>
      <c r="C42" s="105">
        <v>66404841.855296873</v>
      </c>
      <c r="D42" s="105">
        <v>13941221.16</v>
      </c>
      <c r="E42" s="103">
        <f t="shared" si="2"/>
        <v>80346063.015296876</v>
      </c>
      <c r="F42" s="105">
        <v>7349889.7619808232</v>
      </c>
      <c r="G42" s="105">
        <v>2321299.9899999993</v>
      </c>
      <c r="H42" s="103">
        <f t="shared" si="3"/>
        <v>9671189.7519808225</v>
      </c>
    </row>
    <row r="43" spans="1:11" x14ac:dyDescent="0.25">
      <c r="A43" s="100">
        <v>17.2</v>
      </c>
      <c r="B43" s="104" t="s">
        <v>127</v>
      </c>
      <c r="C43" s="102">
        <v>0</v>
      </c>
      <c r="D43" s="102">
        <v>0</v>
      </c>
      <c r="E43" s="103">
        <f t="shared" si="2"/>
        <v>0</v>
      </c>
      <c r="F43" s="102">
        <v>7532089.6799999923</v>
      </c>
      <c r="G43" s="102">
        <v>0</v>
      </c>
      <c r="H43" s="103">
        <f t="shared" si="3"/>
        <v>7532089.6799999923</v>
      </c>
    </row>
    <row r="44" spans="1:11" x14ac:dyDescent="0.25">
      <c r="A44" s="100">
        <v>17.3</v>
      </c>
      <c r="B44" s="122" t="s">
        <v>128</v>
      </c>
      <c r="C44" s="102"/>
      <c r="D44" s="102"/>
      <c r="E44" s="103">
        <f t="shared" si="2"/>
        <v>0</v>
      </c>
      <c r="F44" s="102"/>
      <c r="G44" s="102"/>
      <c r="H44" s="103">
        <f t="shared" si="3"/>
        <v>0</v>
      </c>
    </row>
    <row r="45" spans="1:11" x14ac:dyDescent="0.25">
      <c r="A45" s="100">
        <v>17.399999999999999</v>
      </c>
      <c r="B45" s="122" t="s">
        <v>129</v>
      </c>
      <c r="C45" s="105">
        <v>30918.270000000004</v>
      </c>
      <c r="D45" s="105">
        <v>222156.53000000003</v>
      </c>
      <c r="E45" s="103">
        <f t="shared" si="2"/>
        <v>253074.80000000005</v>
      </c>
      <c r="F45" s="105">
        <v>40023.279999999999</v>
      </c>
      <c r="G45" s="105"/>
      <c r="H45" s="103">
        <f t="shared" si="3"/>
        <v>40023.279999999999</v>
      </c>
    </row>
    <row r="46" spans="1:11" x14ac:dyDescent="0.25">
      <c r="A46" s="100">
        <v>18</v>
      </c>
      <c r="B46" s="109" t="s">
        <v>130</v>
      </c>
      <c r="C46" s="102">
        <v>8943.5671997316531</v>
      </c>
      <c r="D46" s="102">
        <v>41898.594405891556</v>
      </c>
      <c r="E46" s="103">
        <f t="shared" si="2"/>
        <v>50842.161605623209</v>
      </c>
      <c r="F46" s="102"/>
      <c r="G46" s="102"/>
      <c r="H46" s="103">
        <f t="shared" si="3"/>
        <v>0</v>
      </c>
    </row>
    <row r="47" spans="1:11" x14ac:dyDescent="0.25">
      <c r="A47" s="100">
        <v>19</v>
      </c>
      <c r="B47" s="109" t="s">
        <v>131</v>
      </c>
      <c r="C47" s="102">
        <f>SUM(C48:C49)</f>
        <v>1752441.5988421449</v>
      </c>
      <c r="D47" s="102">
        <f>SUM(D48:D49)</f>
        <v>0</v>
      </c>
      <c r="E47" s="103">
        <f t="shared" si="2"/>
        <v>1752441.5988421449</v>
      </c>
      <c r="F47" s="102">
        <f>SUM(F48:F49)</f>
        <v>93718.104683280806</v>
      </c>
      <c r="G47" s="102">
        <f>SUM(G48:G49)</f>
        <v>0</v>
      </c>
      <c r="H47" s="103">
        <f t="shared" si="3"/>
        <v>93718.104683280806</v>
      </c>
    </row>
    <row r="48" spans="1:11" x14ac:dyDescent="0.25">
      <c r="A48" s="100">
        <v>19.100000000000001</v>
      </c>
      <c r="B48" s="123" t="s">
        <v>132</v>
      </c>
      <c r="C48" s="102">
        <v>0</v>
      </c>
      <c r="D48" s="102">
        <v>0</v>
      </c>
      <c r="E48" s="103">
        <f t="shared" si="2"/>
        <v>0</v>
      </c>
      <c r="F48" s="102">
        <v>0</v>
      </c>
      <c r="G48" s="102"/>
      <c r="H48" s="103">
        <f t="shared" si="3"/>
        <v>0</v>
      </c>
    </row>
    <row r="49" spans="1:11" x14ac:dyDescent="0.25">
      <c r="A49" s="100">
        <v>19.2</v>
      </c>
      <c r="B49" s="124" t="s">
        <v>133</v>
      </c>
      <c r="C49" s="102">
        <v>1752441.5988421449</v>
      </c>
      <c r="D49" s="102">
        <v>0</v>
      </c>
      <c r="E49" s="103">
        <f t="shared" si="2"/>
        <v>1752441.5988421449</v>
      </c>
      <c r="F49" s="102">
        <v>93718.104683280806</v>
      </c>
      <c r="G49" s="102">
        <v>0</v>
      </c>
      <c r="H49" s="103">
        <f t="shared" si="3"/>
        <v>93718.104683280806</v>
      </c>
    </row>
    <row r="50" spans="1:11" x14ac:dyDescent="0.25">
      <c r="A50" s="100">
        <v>20</v>
      </c>
      <c r="B50" s="117" t="s">
        <v>134</v>
      </c>
      <c r="C50" s="102">
        <v>3092397.84</v>
      </c>
      <c r="D50" s="102">
        <v>0</v>
      </c>
      <c r="E50" s="103">
        <f t="shared" si="2"/>
        <v>3092397.84</v>
      </c>
      <c r="F50" s="102">
        <v>2686986.8</v>
      </c>
      <c r="G50" s="102">
        <v>0</v>
      </c>
      <c r="H50" s="103">
        <f t="shared" si="3"/>
        <v>2686986.8</v>
      </c>
    </row>
    <row r="51" spans="1:11" x14ac:dyDescent="0.25">
      <c r="A51" s="100">
        <v>21</v>
      </c>
      <c r="B51" s="106" t="s">
        <v>135</v>
      </c>
      <c r="C51" s="102">
        <v>517969.3299999999</v>
      </c>
      <c r="D51" s="102">
        <v>223940.33999999991</v>
      </c>
      <c r="E51" s="103">
        <f t="shared" si="2"/>
        <v>741909.66999999981</v>
      </c>
      <c r="F51" s="102">
        <v>666575.54</v>
      </c>
      <c r="G51" s="102">
        <v>226752.35000000003</v>
      </c>
      <c r="H51" s="103">
        <f t="shared" si="3"/>
        <v>893327.89000000013</v>
      </c>
    </row>
    <row r="52" spans="1:11" x14ac:dyDescent="0.25">
      <c r="A52" s="100">
        <v>21.1</v>
      </c>
      <c r="B52" s="104" t="s">
        <v>136</v>
      </c>
      <c r="C52" s="102"/>
      <c r="D52" s="102"/>
      <c r="E52" s="103">
        <f t="shared" si="2"/>
        <v>0</v>
      </c>
      <c r="F52" s="102"/>
      <c r="G52" s="102"/>
      <c r="H52" s="103">
        <f t="shared" si="3"/>
        <v>0</v>
      </c>
    </row>
    <row r="53" spans="1:11" x14ac:dyDescent="0.25">
      <c r="A53" s="100">
        <v>22</v>
      </c>
      <c r="B53" s="117" t="s">
        <v>137</v>
      </c>
      <c r="C53" s="102">
        <f>SUM(C38,C40,C41,C46,C47,C50,C51)</f>
        <v>71820042.461338758</v>
      </c>
      <c r="D53" s="102">
        <f t="shared" ref="D53:G53" si="4">SUM(D38,D40,D41,D46,D47,D50,D51)</f>
        <v>14646670.566952003</v>
      </c>
      <c r="E53" s="103">
        <f t="shared" si="2"/>
        <v>86466713.028290763</v>
      </c>
      <c r="F53" s="102">
        <f t="shared" si="4"/>
        <v>18382468.166664094</v>
      </c>
      <c r="G53" s="102">
        <f t="shared" si="4"/>
        <v>2548712.3399999994</v>
      </c>
      <c r="H53" s="103">
        <f t="shared" si="3"/>
        <v>20931180.506664094</v>
      </c>
      <c r="K53" s="118"/>
    </row>
    <row r="54" spans="1:11" ht="24" customHeight="1" x14ac:dyDescent="0.25">
      <c r="A54" s="100"/>
      <c r="B54" s="119" t="s">
        <v>138</v>
      </c>
      <c r="C54" s="694"/>
      <c r="D54" s="695"/>
      <c r="E54" s="695"/>
      <c r="F54" s="695"/>
      <c r="G54" s="695"/>
      <c r="H54" s="696"/>
    </row>
    <row r="55" spans="1:11" x14ac:dyDescent="0.25">
      <c r="A55" s="100">
        <v>23</v>
      </c>
      <c r="B55" s="117" t="s">
        <v>139</v>
      </c>
      <c r="C55" s="102">
        <v>62946400</v>
      </c>
      <c r="D55" s="102"/>
      <c r="E55" s="103">
        <f>C55+D55</f>
        <v>62946400</v>
      </c>
      <c r="F55" s="102">
        <v>61146400</v>
      </c>
      <c r="G55" s="102"/>
      <c r="H55" s="103">
        <f>F55+G55</f>
        <v>61146400</v>
      </c>
    </row>
    <row r="56" spans="1:11" x14ac:dyDescent="0.25">
      <c r="A56" s="100">
        <v>24</v>
      </c>
      <c r="B56" s="117" t="s">
        <v>140</v>
      </c>
      <c r="C56" s="102"/>
      <c r="D56" s="102"/>
      <c r="E56" s="103">
        <f t="shared" ref="E56:E69" si="5">C56+D56</f>
        <v>0</v>
      </c>
      <c r="F56" s="102"/>
      <c r="G56" s="102"/>
      <c r="H56" s="103">
        <f t="shared" ref="H56:H69" si="6">F56+G56</f>
        <v>0</v>
      </c>
    </row>
    <row r="57" spans="1:11" x14ac:dyDescent="0.25">
      <c r="A57" s="100">
        <v>25</v>
      </c>
      <c r="B57" s="117" t="s">
        <v>141</v>
      </c>
      <c r="C57" s="102"/>
      <c r="D57" s="102"/>
      <c r="E57" s="103">
        <f t="shared" si="5"/>
        <v>0</v>
      </c>
      <c r="F57" s="102"/>
      <c r="G57" s="102"/>
      <c r="H57" s="103">
        <f t="shared" si="6"/>
        <v>0</v>
      </c>
    </row>
    <row r="58" spans="1:11" x14ac:dyDescent="0.25">
      <c r="A58" s="100">
        <v>26</v>
      </c>
      <c r="B58" s="109" t="s">
        <v>142</v>
      </c>
      <c r="C58" s="102"/>
      <c r="D58" s="102"/>
      <c r="E58" s="103">
        <f t="shared" si="5"/>
        <v>0</v>
      </c>
      <c r="F58" s="102"/>
      <c r="G58" s="102"/>
      <c r="H58" s="103">
        <f t="shared" si="6"/>
        <v>0</v>
      </c>
    </row>
    <row r="59" spans="1:11" ht="21" x14ac:dyDescent="0.25">
      <c r="A59" s="100">
        <v>27</v>
      </c>
      <c r="B59" s="109" t="s">
        <v>143</v>
      </c>
      <c r="C59" s="102">
        <f>SUM(C60:C61)</f>
        <v>0</v>
      </c>
      <c r="D59" s="102">
        <f>SUM(D60:D61)</f>
        <v>0</v>
      </c>
      <c r="E59" s="103">
        <f t="shared" si="5"/>
        <v>0</v>
      </c>
      <c r="F59" s="102"/>
      <c r="G59" s="102"/>
      <c r="H59" s="103">
        <f t="shared" si="6"/>
        <v>0</v>
      </c>
    </row>
    <row r="60" spans="1:11" x14ac:dyDescent="0.25">
      <c r="A60" s="100">
        <v>27.1</v>
      </c>
      <c r="B60" s="123" t="s">
        <v>144</v>
      </c>
      <c r="C60" s="102"/>
      <c r="D60" s="102"/>
      <c r="E60" s="103">
        <f t="shared" si="5"/>
        <v>0</v>
      </c>
      <c r="F60" s="102"/>
      <c r="G60" s="102"/>
      <c r="H60" s="103">
        <f t="shared" si="6"/>
        <v>0</v>
      </c>
    </row>
    <row r="61" spans="1:11" x14ac:dyDescent="0.25">
      <c r="A61" s="100">
        <v>27.2</v>
      </c>
      <c r="B61" s="122" t="s">
        <v>145</v>
      </c>
      <c r="C61" s="102"/>
      <c r="D61" s="102"/>
      <c r="E61" s="103">
        <f t="shared" si="5"/>
        <v>0</v>
      </c>
      <c r="F61" s="102"/>
      <c r="G61" s="102"/>
      <c r="H61" s="103">
        <f t="shared" si="6"/>
        <v>0</v>
      </c>
    </row>
    <row r="62" spans="1:11" x14ac:dyDescent="0.25">
      <c r="A62" s="100">
        <v>28</v>
      </c>
      <c r="B62" s="106" t="s">
        <v>146</v>
      </c>
      <c r="C62" s="102"/>
      <c r="D62" s="102"/>
      <c r="E62" s="103">
        <f t="shared" si="5"/>
        <v>0</v>
      </c>
      <c r="F62" s="102"/>
      <c r="G62" s="102"/>
      <c r="H62" s="103">
        <f t="shared" si="6"/>
        <v>0</v>
      </c>
    </row>
    <row r="63" spans="1:11" x14ac:dyDescent="0.25">
      <c r="A63" s="100">
        <v>29</v>
      </c>
      <c r="B63" s="109" t="s">
        <v>147</v>
      </c>
      <c r="C63" s="102">
        <f>SUM(C64:C66)</f>
        <v>4352500.4589957595</v>
      </c>
      <c r="D63" s="102">
        <f>SUM(D64:D66)</f>
        <v>0</v>
      </c>
      <c r="E63" s="103">
        <f t="shared" si="5"/>
        <v>4352500.4589957595</v>
      </c>
      <c r="F63" s="102">
        <f>F64</f>
        <v>6799068.2615330247</v>
      </c>
      <c r="G63" s="102"/>
      <c r="H63" s="103">
        <f t="shared" si="6"/>
        <v>6799068.2615330247</v>
      </c>
    </row>
    <row r="64" spans="1:11" x14ac:dyDescent="0.25">
      <c r="A64" s="100">
        <v>29.1</v>
      </c>
      <c r="B64" s="112" t="s">
        <v>148</v>
      </c>
      <c r="C64" s="102">
        <v>4352500.4589957595</v>
      </c>
      <c r="D64" s="102"/>
      <c r="E64" s="103">
        <f t="shared" si="5"/>
        <v>4352500.4589957595</v>
      </c>
      <c r="F64" s="102">
        <v>6799068.2615330247</v>
      </c>
      <c r="G64" s="102"/>
      <c r="H64" s="103">
        <f t="shared" si="6"/>
        <v>6799068.2615330247</v>
      </c>
    </row>
    <row r="65" spans="1:8" ht="24.95" customHeight="1" x14ac:dyDescent="0.25">
      <c r="A65" s="100">
        <v>29.2</v>
      </c>
      <c r="B65" s="123" t="s">
        <v>149</v>
      </c>
      <c r="C65" s="102"/>
      <c r="D65" s="102"/>
      <c r="E65" s="103">
        <f t="shared" si="5"/>
        <v>0</v>
      </c>
      <c r="F65" s="102"/>
      <c r="G65" s="102"/>
      <c r="H65" s="103">
        <f t="shared" si="6"/>
        <v>0</v>
      </c>
    </row>
    <row r="66" spans="1:8" ht="22.5" customHeight="1" x14ac:dyDescent="0.25">
      <c r="A66" s="100">
        <v>29.3</v>
      </c>
      <c r="B66" s="115" t="s">
        <v>150</v>
      </c>
      <c r="C66" s="102"/>
      <c r="D66" s="102"/>
      <c r="E66" s="103">
        <f t="shared" si="5"/>
        <v>0</v>
      </c>
      <c r="F66" s="102"/>
      <c r="G66" s="102"/>
      <c r="H66" s="103">
        <f t="shared" si="6"/>
        <v>0</v>
      </c>
    </row>
    <row r="67" spans="1:8" x14ac:dyDescent="0.25">
      <c r="A67" s="100">
        <v>30</v>
      </c>
      <c r="B67" s="109" t="s">
        <v>151</v>
      </c>
      <c r="C67" s="102">
        <v>-12695947.58112132</v>
      </c>
      <c r="D67" s="102"/>
      <c r="E67" s="103">
        <f t="shared" si="5"/>
        <v>-12695947.58112132</v>
      </c>
      <c r="F67" s="102">
        <v>-8436656.6218507234</v>
      </c>
      <c r="G67" s="102"/>
      <c r="H67" s="103">
        <f t="shared" si="6"/>
        <v>-8436656.6218507234</v>
      </c>
    </row>
    <row r="68" spans="1:8" x14ac:dyDescent="0.25">
      <c r="A68" s="100">
        <v>31</v>
      </c>
      <c r="B68" s="125" t="s">
        <v>152</v>
      </c>
      <c r="C68" s="102">
        <f>SUM(C55,C56,C57,C58,C59,C62,C63,C67)</f>
        <v>54602952.877874441</v>
      </c>
      <c r="D68" s="102">
        <f>SUM(D55,D56,D57,D58,D59,D62,D63,D67)</f>
        <v>0</v>
      </c>
      <c r="E68" s="103">
        <f t="shared" si="5"/>
        <v>54602952.877874441</v>
      </c>
      <c r="F68" s="102">
        <f>SUM(F55,F56,F57,F58,F59,F62,F63,F67)</f>
        <v>59508811.6396823</v>
      </c>
      <c r="G68" s="102">
        <f>SUM(G55,G56,G57,G58,G59,G62,G63,G67)</f>
        <v>0</v>
      </c>
      <c r="H68" s="103">
        <f t="shared" si="6"/>
        <v>59508811.6396823</v>
      </c>
    </row>
    <row r="69" spans="1:8" x14ac:dyDescent="0.25">
      <c r="A69" s="100">
        <v>32</v>
      </c>
      <c r="B69" s="126" t="s">
        <v>153</v>
      </c>
      <c r="C69" s="102">
        <f>SUM(C53,C68)</f>
        <v>126422995.33921319</v>
      </c>
      <c r="D69" s="102">
        <f>SUM(D53,D68)</f>
        <v>14646670.566952003</v>
      </c>
      <c r="E69" s="103">
        <f t="shared" si="5"/>
        <v>141069665.90616518</v>
      </c>
      <c r="F69" s="102">
        <f>SUM(F68,F53)</f>
        <v>77891279.806346387</v>
      </c>
      <c r="G69" s="102">
        <f>SUM(G68,G53)</f>
        <v>2548712.3399999994</v>
      </c>
      <c r="H69" s="103">
        <f t="shared" si="6"/>
        <v>80439992.14634639</v>
      </c>
    </row>
    <row r="71" spans="1:8" x14ac:dyDescent="0.25">
      <c r="E71" s="642"/>
      <c r="F71" s="642"/>
      <c r="G71" s="642"/>
      <c r="H71" s="642"/>
    </row>
    <row r="76" spans="1:8" x14ac:dyDescent="0.25">
      <c r="H76" s="42">
        <v>0</v>
      </c>
    </row>
    <row r="77" spans="1:8" x14ac:dyDescent="0.25">
      <c r="E77" s="42">
        <v>0</v>
      </c>
    </row>
    <row r="81" spans="5:5" x14ac:dyDescent="0.25">
      <c r="E81" s="42">
        <v>0</v>
      </c>
    </row>
  </sheetData>
  <mergeCells count="5">
    <mergeCell ref="A4:A6"/>
    <mergeCell ref="B4:B5"/>
    <mergeCell ref="C4:E4"/>
    <mergeCell ref="F4:H4"/>
    <mergeCell ref="C6:H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FD53B-A6DE-48C6-B518-D9F06B3A0346}">
  <dimension ref="A1:M50"/>
  <sheetViews>
    <sheetView topLeftCell="A25" zoomScaleNormal="100" workbookViewId="0">
      <selection activeCell="D48" sqref="D48"/>
    </sheetView>
  </sheetViews>
  <sheetFormatPr defaultRowHeight="15" x14ac:dyDescent="0.25"/>
  <cols>
    <col min="2" max="2" width="66.5703125" customWidth="1"/>
    <col min="3" max="4" width="17.85546875" customWidth="1"/>
    <col min="5" max="5" width="15" customWidth="1"/>
    <col min="6" max="7" width="17.85546875" customWidth="1"/>
    <col min="8" max="8" width="17.5703125" customWidth="1"/>
  </cols>
  <sheetData>
    <row r="1" spans="1:8" ht="15.75" x14ac:dyDescent="0.3">
      <c r="A1" s="20" t="s">
        <v>41</v>
      </c>
      <c r="B1" s="21" t="str">
        <f>Info!C2</f>
        <v>სს სილქ ბანკი</v>
      </c>
      <c r="C1" s="22"/>
      <c r="D1" s="19"/>
      <c r="E1" s="19"/>
      <c r="F1" s="19"/>
      <c r="G1" s="19"/>
    </row>
    <row r="2" spans="1:8" ht="15.75" x14ac:dyDescent="0.3">
      <c r="A2" s="20" t="s">
        <v>42</v>
      </c>
      <c r="B2" s="23">
        <f>'1. key ratios'!B2</f>
        <v>45107</v>
      </c>
      <c r="C2" s="22"/>
      <c r="D2" s="19"/>
      <c r="E2" s="19"/>
      <c r="F2" s="19"/>
      <c r="G2" s="19"/>
    </row>
    <row r="3" spans="1:8" ht="15.75" x14ac:dyDescent="0.3">
      <c r="A3" s="20"/>
      <c r="B3" s="22"/>
      <c r="C3" s="22"/>
      <c r="D3" s="19"/>
      <c r="E3" s="19"/>
      <c r="F3" s="19"/>
      <c r="G3" s="19"/>
    </row>
    <row r="4" spans="1:8" x14ac:dyDescent="0.25">
      <c r="A4" s="729" t="s">
        <v>46</v>
      </c>
      <c r="B4" s="731" t="s">
        <v>14</v>
      </c>
      <c r="C4" s="733" t="s">
        <v>88</v>
      </c>
      <c r="D4" s="733"/>
      <c r="E4" s="733"/>
      <c r="F4" s="733" t="s">
        <v>89</v>
      </c>
      <c r="G4" s="733"/>
      <c r="H4" s="733"/>
    </row>
    <row r="5" spans="1:8" ht="15.6" customHeight="1" x14ac:dyDescent="0.25">
      <c r="A5" s="730"/>
      <c r="B5" s="732"/>
      <c r="C5" s="129" t="s">
        <v>90</v>
      </c>
      <c r="D5" s="129" t="s">
        <v>91</v>
      </c>
      <c r="E5" s="129" t="s">
        <v>92</v>
      </c>
      <c r="F5" s="129" t="s">
        <v>90</v>
      </c>
      <c r="G5" s="129" t="s">
        <v>91</v>
      </c>
      <c r="H5" s="129" t="s">
        <v>92</v>
      </c>
    </row>
    <row r="6" spans="1:8" x14ac:dyDescent="0.25">
      <c r="A6" s="97">
        <v>1</v>
      </c>
      <c r="B6" s="130" t="s">
        <v>154</v>
      </c>
      <c r="C6" s="131">
        <f>SUM(C7:C12)</f>
        <v>2466064.6015167623</v>
      </c>
      <c r="D6" s="131">
        <f>SUM(D7:D12)</f>
        <v>494156.33000000019</v>
      </c>
      <c r="E6" s="132">
        <f>C6+D6</f>
        <v>2960220.9315167624</v>
      </c>
      <c r="F6" s="131">
        <f>SUM(F7:F12)</f>
        <v>2672679.8498324957</v>
      </c>
      <c r="G6" s="131">
        <f>SUM(G7:G12)</f>
        <v>245990.90718990177</v>
      </c>
      <c r="H6" s="132">
        <f>F6+G6</f>
        <v>2918670.7570223976</v>
      </c>
    </row>
    <row r="7" spans="1:8" x14ac:dyDescent="0.25">
      <c r="A7" s="97">
        <v>1.1000000000000001</v>
      </c>
      <c r="B7" s="133" t="s">
        <v>98</v>
      </c>
      <c r="C7" s="131"/>
      <c r="D7" s="131"/>
      <c r="E7" s="132">
        <f t="shared" ref="E7:E45" si="0">C7+D7</f>
        <v>0</v>
      </c>
      <c r="F7" s="131"/>
      <c r="G7" s="131"/>
      <c r="H7" s="132">
        <f t="shared" ref="H7:H45" si="1">F7+G7</f>
        <v>0</v>
      </c>
    </row>
    <row r="8" spans="1:8" ht="21" x14ac:dyDescent="0.25">
      <c r="A8" s="97">
        <v>1.2</v>
      </c>
      <c r="B8" s="133" t="s">
        <v>155</v>
      </c>
      <c r="C8" s="131"/>
      <c r="D8" s="131"/>
      <c r="E8" s="132">
        <f t="shared" si="0"/>
        <v>0</v>
      </c>
      <c r="F8" s="131"/>
      <c r="G8" s="131"/>
      <c r="H8" s="132">
        <f t="shared" si="1"/>
        <v>0</v>
      </c>
    </row>
    <row r="9" spans="1:8" ht="21.6" customHeight="1" x14ac:dyDescent="0.25">
      <c r="A9" s="97">
        <v>1.3</v>
      </c>
      <c r="B9" s="123" t="s">
        <v>156</v>
      </c>
      <c r="C9" s="131"/>
      <c r="D9" s="131"/>
      <c r="E9" s="132">
        <f t="shared" si="0"/>
        <v>0</v>
      </c>
      <c r="F9" s="131"/>
      <c r="G9" s="131"/>
      <c r="H9" s="132">
        <f t="shared" si="1"/>
        <v>0</v>
      </c>
    </row>
    <row r="10" spans="1:8" ht="21" x14ac:dyDescent="0.25">
      <c r="A10" s="97">
        <v>1.4</v>
      </c>
      <c r="B10" s="123" t="s">
        <v>102</v>
      </c>
      <c r="C10" s="131"/>
      <c r="D10" s="131"/>
      <c r="E10" s="132">
        <f t="shared" si="0"/>
        <v>0</v>
      </c>
      <c r="F10" s="131"/>
      <c r="G10" s="131"/>
      <c r="H10" s="132">
        <f t="shared" si="1"/>
        <v>0</v>
      </c>
    </row>
    <row r="11" spans="1:8" x14ac:dyDescent="0.25">
      <c r="A11" s="97">
        <v>1.5</v>
      </c>
      <c r="B11" s="123" t="s">
        <v>106</v>
      </c>
      <c r="C11" s="131">
        <v>2466064.6015167623</v>
      </c>
      <c r="D11" s="131">
        <v>494156.33000000019</v>
      </c>
      <c r="E11" s="132">
        <f t="shared" si="0"/>
        <v>2960220.9315167624</v>
      </c>
      <c r="F11" s="131">
        <v>2672679.8498324957</v>
      </c>
      <c r="G11" s="131">
        <v>245990.90718990177</v>
      </c>
      <c r="H11" s="132">
        <f t="shared" si="1"/>
        <v>2918670.7570223976</v>
      </c>
    </row>
    <row r="12" spans="1:8" x14ac:dyDescent="0.25">
      <c r="A12" s="97">
        <v>1.6</v>
      </c>
      <c r="B12" s="124" t="s">
        <v>118</v>
      </c>
      <c r="C12" s="131"/>
      <c r="D12" s="131"/>
      <c r="E12" s="132">
        <f t="shared" si="0"/>
        <v>0</v>
      </c>
      <c r="F12" s="131"/>
      <c r="G12" s="131"/>
      <c r="H12" s="132">
        <f t="shared" si="1"/>
        <v>0</v>
      </c>
    </row>
    <row r="13" spans="1:8" x14ac:dyDescent="0.25">
      <c r="A13" s="97">
        <v>2</v>
      </c>
      <c r="B13" s="134" t="s">
        <v>157</v>
      </c>
      <c r="C13" s="131">
        <f>SUM(C14:C17)</f>
        <v>-867610.87045483524</v>
      </c>
      <c r="D13" s="131">
        <f>SUM(D14:D17)</f>
        <v>-65598.140000000029</v>
      </c>
      <c r="E13" s="132">
        <f t="shared" si="0"/>
        <v>-933209.01045483525</v>
      </c>
      <c r="F13" s="131">
        <f>SUM(F14:F17)</f>
        <v>-1351112.6234834751</v>
      </c>
      <c r="G13" s="131">
        <f>SUM(G14:G17)</f>
        <v>-2026.5599999999829</v>
      </c>
      <c r="H13" s="132">
        <f t="shared" si="1"/>
        <v>-1353139.1834834751</v>
      </c>
    </row>
    <row r="14" spans="1:8" x14ac:dyDescent="0.25">
      <c r="A14" s="97">
        <v>2.1</v>
      </c>
      <c r="B14" s="123" t="s">
        <v>158</v>
      </c>
      <c r="C14" s="131"/>
      <c r="D14" s="131"/>
      <c r="E14" s="132">
        <f t="shared" si="0"/>
        <v>0</v>
      </c>
      <c r="F14" s="131"/>
      <c r="G14" s="131"/>
      <c r="H14" s="132">
        <f t="shared" si="1"/>
        <v>0</v>
      </c>
    </row>
    <row r="15" spans="1:8" ht="24.6" customHeight="1" x14ac:dyDescent="0.25">
      <c r="A15" s="97">
        <v>2.2000000000000002</v>
      </c>
      <c r="B15" s="123" t="s">
        <v>159</v>
      </c>
      <c r="C15" s="131"/>
      <c r="D15" s="131"/>
      <c r="E15" s="132">
        <f t="shared" si="0"/>
        <v>0</v>
      </c>
      <c r="F15" s="131"/>
      <c r="G15" s="131"/>
      <c r="H15" s="132">
        <f t="shared" si="1"/>
        <v>0</v>
      </c>
    </row>
    <row r="16" spans="1:8" ht="20.45" customHeight="1" x14ac:dyDescent="0.25">
      <c r="A16" s="97">
        <v>2.2999999999999998</v>
      </c>
      <c r="B16" s="123" t="s">
        <v>160</v>
      </c>
      <c r="C16" s="131">
        <v>-867610.87045483524</v>
      </c>
      <c r="D16" s="131">
        <v>-65598.140000000029</v>
      </c>
      <c r="E16" s="132">
        <f t="shared" si="0"/>
        <v>-933209.01045483525</v>
      </c>
      <c r="F16" s="131">
        <v>-1351112.6234834751</v>
      </c>
      <c r="G16" s="131">
        <v>-2026.5599999999829</v>
      </c>
      <c r="H16" s="132">
        <f t="shared" si="1"/>
        <v>-1353139.1834834751</v>
      </c>
    </row>
    <row r="17" spans="1:8" x14ac:dyDescent="0.25">
      <c r="A17" s="97">
        <v>2.4</v>
      </c>
      <c r="B17" s="123" t="s">
        <v>161</v>
      </c>
      <c r="C17" s="131"/>
      <c r="D17" s="131"/>
      <c r="E17" s="132">
        <f t="shared" si="0"/>
        <v>0</v>
      </c>
      <c r="F17" s="131"/>
      <c r="G17" s="131"/>
      <c r="H17" s="132">
        <f t="shared" si="1"/>
        <v>0</v>
      </c>
    </row>
    <row r="18" spans="1:8" x14ac:dyDescent="0.25">
      <c r="A18" s="97">
        <v>3</v>
      </c>
      <c r="B18" s="134" t="s">
        <v>162</v>
      </c>
      <c r="C18" s="131"/>
      <c r="D18" s="131"/>
      <c r="E18" s="132">
        <f t="shared" si="0"/>
        <v>0</v>
      </c>
      <c r="F18" s="131"/>
      <c r="G18" s="131"/>
      <c r="H18" s="132">
        <f t="shared" si="1"/>
        <v>0</v>
      </c>
    </row>
    <row r="19" spans="1:8" x14ac:dyDescent="0.25">
      <c r="A19" s="97">
        <v>4</v>
      </c>
      <c r="B19" s="134" t="s">
        <v>163</v>
      </c>
      <c r="C19" s="131">
        <v>106531.81</v>
      </c>
      <c r="D19" s="131">
        <v>53576.71</v>
      </c>
      <c r="E19" s="132">
        <f t="shared" si="0"/>
        <v>160108.51999999999</v>
      </c>
      <c r="F19" s="131">
        <v>77776.12</v>
      </c>
      <c r="G19" s="131">
        <v>9033.2799999999988</v>
      </c>
      <c r="H19" s="132">
        <f t="shared" si="1"/>
        <v>86809.4</v>
      </c>
    </row>
    <row r="20" spans="1:8" x14ac:dyDescent="0.25">
      <c r="A20" s="97">
        <v>5</v>
      </c>
      <c r="B20" s="134" t="s">
        <v>164</v>
      </c>
      <c r="C20" s="131">
        <v>-37693.759999999995</v>
      </c>
      <c r="D20" s="131">
        <v>-51721.79</v>
      </c>
      <c r="E20" s="132">
        <f t="shared" si="0"/>
        <v>-89415.549999999988</v>
      </c>
      <c r="F20" s="131">
        <v>-21826.01</v>
      </c>
      <c r="G20" s="131">
        <v>-18458.71</v>
      </c>
      <c r="H20" s="132">
        <f t="shared" si="1"/>
        <v>-40284.720000000001</v>
      </c>
    </row>
    <row r="21" spans="1:8" ht="38.450000000000003" customHeight="1" x14ac:dyDescent="0.25">
      <c r="A21" s="97">
        <v>6</v>
      </c>
      <c r="B21" s="134" t="s">
        <v>165</v>
      </c>
      <c r="C21" s="131"/>
      <c r="D21" s="131"/>
      <c r="E21" s="132">
        <f t="shared" si="0"/>
        <v>0</v>
      </c>
      <c r="F21" s="131"/>
      <c r="G21" s="131"/>
      <c r="H21" s="132">
        <f t="shared" si="1"/>
        <v>0</v>
      </c>
    </row>
    <row r="22" spans="1:8" ht="27.6" customHeight="1" x14ac:dyDescent="0.25">
      <c r="A22" s="97">
        <v>7</v>
      </c>
      <c r="B22" s="134" t="s">
        <v>166</v>
      </c>
      <c r="C22" s="131"/>
      <c r="D22" s="131"/>
      <c r="E22" s="132">
        <f t="shared" si="0"/>
        <v>0</v>
      </c>
      <c r="F22" s="131"/>
      <c r="G22" s="131"/>
      <c r="H22" s="132">
        <f t="shared" si="1"/>
        <v>0</v>
      </c>
    </row>
    <row r="23" spans="1:8" ht="36.950000000000003" customHeight="1" x14ac:dyDescent="0.25">
      <c r="A23" s="97">
        <v>8</v>
      </c>
      <c r="B23" s="135" t="s">
        <v>167</v>
      </c>
      <c r="C23" s="131"/>
      <c r="D23" s="131"/>
      <c r="E23" s="132">
        <f t="shared" si="0"/>
        <v>0</v>
      </c>
      <c r="F23" s="131"/>
      <c r="G23" s="131"/>
      <c r="H23" s="132">
        <f t="shared" si="1"/>
        <v>0</v>
      </c>
    </row>
    <row r="24" spans="1:8" ht="34.5" customHeight="1" x14ac:dyDescent="0.25">
      <c r="A24" s="97">
        <v>9</v>
      </c>
      <c r="B24" s="135" t="s">
        <v>168</v>
      </c>
      <c r="C24" s="131"/>
      <c r="D24" s="131"/>
      <c r="E24" s="132">
        <f t="shared" si="0"/>
        <v>0</v>
      </c>
      <c r="F24" s="131"/>
      <c r="G24" s="131"/>
      <c r="H24" s="132">
        <f t="shared" si="1"/>
        <v>0</v>
      </c>
    </row>
    <row r="25" spans="1:8" x14ac:dyDescent="0.25">
      <c r="A25" s="97">
        <v>10</v>
      </c>
      <c r="B25" s="134" t="s">
        <v>169</v>
      </c>
      <c r="C25" s="131">
        <v>188686.81865976751</v>
      </c>
      <c r="D25" s="131">
        <v>0</v>
      </c>
      <c r="E25" s="132">
        <f t="shared" si="0"/>
        <v>188686.81865976751</v>
      </c>
      <c r="F25" s="131">
        <v>-408939.82968039438</v>
      </c>
      <c r="G25" s="131">
        <v>0</v>
      </c>
      <c r="H25" s="132">
        <f t="shared" si="1"/>
        <v>-408939.82968039438</v>
      </c>
    </row>
    <row r="26" spans="1:8" ht="27" customHeight="1" x14ac:dyDescent="0.25">
      <c r="A26" s="97">
        <v>11</v>
      </c>
      <c r="B26" s="136" t="s">
        <v>170</v>
      </c>
      <c r="C26" s="131">
        <v>-23368.640438376908</v>
      </c>
      <c r="D26" s="131">
        <v>0</v>
      </c>
      <c r="E26" s="132">
        <f t="shared" si="0"/>
        <v>-23368.640438376908</v>
      </c>
      <c r="F26" s="131">
        <v>-29914.754593155296</v>
      </c>
      <c r="G26" s="131">
        <v>0</v>
      </c>
      <c r="H26" s="132">
        <f t="shared" si="1"/>
        <v>-29914.754593155296</v>
      </c>
    </row>
    <row r="27" spans="1:8" x14ac:dyDescent="0.25">
      <c r="A27" s="97">
        <v>12</v>
      </c>
      <c r="B27" s="134" t="s">
        <v>171</v>
      </c>
      <c r="C27" s="131">
        <v>31689.316479998455</v>
      </c>
      <c r="D27" s="131">
        <v>0</v>
      </c>
      <c r="E27" s="132">
        <f t="shared" si="0"/>
        <v>31689.316479998455</v>
      </c>
      <c r="F27" s="137"/>
      <c r="G27" s="138">
        <v>0.18</v>
      </c>
      <c r="H27" s="132">
        <f t="shared" si="1"/>
        <v>0.18</v>
      </c>
    </row>
    <row r="28" spans="1:8" x14ac:dyDescent="0.25">
      <c r="A28" s="97">
        <v>13</v>
      </c>
      <c r="B28" s="139" t="s">
        <v>172</v>
      </c>
      <c r="C28" s="131">
        <v>-4518.1964799999996</v>
      </c>
      <c r="D28" s="131">
        <v>0</v>
      </c>
      <c r="E28" s="132">
        <f t="shared" si="0"/>
        <v>-4518.1964799999996</v>
      </c>
      <c r="F28" s="138">
        <v>-0.25</v>
      </c>
      <c r="G28" s="138">
        <v>0</v>
      </c>
      <c r="H28" s="132">
        <f t="shared" si="1"/>
        <v>-0.25</v>
      </c>
    </row>
    <row r="29" spans="1:8" x14ac:dyDescent="0.25">
      <c r="A29" s="97">
        <v>14</v>
      </c>
      <c r="B29" s="140" t="s">
        <v>173</v>
      </c>
      <c r="C29" s="131">
        <f>SUM(C30:C31)</f>
        <v>-3969729.4699999997</v>
      </c>
      <c r="D29" s="131">
        <f>SUM(D30:D31)</f>
        <v>-432134.44999999995</v>
      </c>
      <c r="E29" s="132">
        <f t="shared" si="0"/>
        <v>-4401863.92</v>
      </c>
      <c r="F29" s="138">
        <f>SUM(F30:F31)</f>
        <v>-2731029.8367843847</v>
      </c>
      <c r="G29" s="138">
        <f>SUM(G30:G31)</f>
        <v>-382075.56</v>
      </c>
      <c r="H29" s="141">
        <f t="shared" si="1"/>
        <v>-3113105.3967843847</v>
      </c>
    </row>
    <row r="30" spans="1:8" x14ac:dyDescent="0.25">
      <c r="A30" s="97">
        <v>14.1</v>
      </c>
      <c r="B30" s="115" t="s">
        <v>174</v>
      </c>
      <c r="C30" s="131">
        <v>-2766258.23</v>
      </c>
      <c r="D30" s="131">
        <v>0</v>
      </c>
      <c r="E30" s="132">
        <f t="shared" si="0"/>
        <v>-2766258.23</v>
      </c>
      <c r="F30" s="138">
        <v>-1744902.64</v>
      </c>
      <c r="G30" s="138">
        <v>0</v>
      </c>
      <c r="H30" s="141">
        <f t="shared" si="1"/>
        <v>-1744902.64</v>
      </c>
    </row>
    <row r="31" spans="1:8" x14ac:dyDescent="0.25">
      <c r="A31" s="97">
        <v>14.2</v>
      </c>
      <c r="B31" s="115" t="s">
        <v>175</v>
      </c>
      <c r="C31" s="131">
        <v>-1203471.24</v>
      </c>
      <c r="D31" s="131">
        <v>-432134.44999999995</v>
      </c>
      <c r="E31" s="132">
        <f t="shared" si="0"/>
        <v>-1635605.69</v>
      </c>
      <c r="F31" s="138">
        <v>-986127.1967843849</v>
      </c>
      <c r="G31" s="138">
        <v>-382075.56</v>
      </c>
      <c r="H31" s="141">
        <f t="shared" si="1"/>
        <v>-1368202.7567843848</v>
      </c>
    </row>
    <row r="32" spans="1:8" x14ac:dyDescent="0.25">
      <c r="A32" s="97">
        <v>15</v>
      </c>
      <c r="B32" s="142" t="s">
        <v>176</v>
      </c>
      <c r="C32" s="131">
        <v>-429960.33999999997</v>
      </c>
      <c r="D32" s="131">
        <v>0</v>
      </c>
      <c r="E32" s="132">
        <f t="shared" si="0"/>
        <v>-429960.33999999997</v>
      </c>
      <c r="F32" s="138">
        <v>-332090.55999999994</v>
      </c>
      <c r="G32" s="138">
        <v>0</v>
      </c>
      <c r="H32" s="141">
        <f t="shared" si="1"/>
        <v>-332090.55999999994</v>
      </c>
    </row>
    <row r="33" spans="1:13" ht="22.5" customHeight="1" x14ac:dyDescent="0.25">
      <c r="A33" s="97">
        <v>16</v>
      </c>
      <c r="B33" s="109" t="s">
        <v>177</v>
      </c>
      <c r="C33" s="131"/>
      <c r="D33" s="131"/>
      <c r="E33" s="132">
        <f t="shared" si="0"/>
        <v>0</v>
      </c>
      <c r="F33" s="131"/>
      <c r="G33" s="131"/>
      <c r="H33" s="132">
        <f t="shared" si="1"/>
        <v>0</v>
      </c>
    </row>
    <row r="34" spans="1:13" x14ac:dyDescent="0.25">
      <c r="A34" s="97">
        <v>17</v>
      </c>
      <c r="B34" s="134" t="s">
        <v>178</v>
      </c>
      <c r="C34" s="131">
        <f>SUM(C35:C36)</f>
        <v>-3703.5671997316686</v>
      </c>
      <c r="D34" s="131">
        <f>SUM(D35:D36)</f>
        <v>-36761.800951675614</v>
      </c>
      <c r="E34" s="132">
        <f t="shared" si="0"/>
        <v>-40465.368151407281</v>
      </c>
      <c r="F34" s="131">
        <f>SUM(F35:F36)</f>
        <v>0</v>
      </c>
      <c r="G34" s="131">
        <f>SUM(G35:G36)</f>
        <v>0</v>
      </c>
      <c r="H34" s="132">
        <f t="shared" si="1"/>
        <v>0</v>
      </c>
    </row>
    <row r="35" spans="1:13" x14ac:dyDescent="0.25">
      <c r="A35" s="97">
        <v>17.100000000000001</v>
      </c>
      <c r="B35" s="143" t="s">
        <v>179</v>
      </c>
      <c r="C35" s="131">
        <v>-3703.5671997316686</v>
      </c>
      <c r="D35" s="131">
        <v>-36761.800951675614</v>
      </c>
      <c r="E35" s="132">
        <f t="shared" si="0"/>
        <v>-40465.368151407281</v>
      </c>
      <c r="F35" s="131">
        <v>0</v>
      </c>
      <c r="G35" s="131">
        <v>0</v>
      </c>
      <c r="H35" s="132">
        <f t="shared" si="1"/>
        <v>0</v>
      </c>
    </row>
    <row r="36" spans="1:13" x14ac:dyDescent="0.25">
      <c r="A36" s="97">
        <v>17.2</v>
      </c>
      <c r="B36" s="115" t="s">
        <v>180</v>
      </c>
      <c r="C36" s="131"/>
      <c r="D36" s="131"/>
      <c r="E36" s="132">
        <f t="shared" si="0"/>
        <v>0</v>
      </c>
      <c r="F36" s="131"/>
      <c r="G36" s="131"/>
      <c r="H36" s="132">
        <f t="shared" si="1"/>
        <v>0</v>
      </c>
    </row>
    <row r="37" spans="1:13" ht="41.45" customHeight="1" x14ac:dyDescent="0.25">
      <c r="A37" s="97">
        <v>18</v>
      </c>
      <c r="B37" s="144" t="s">
        <v>181</v>
      </c>
      <c r="C37" s="131">
        <f>SUM(C38:C39)</f>
        <v>-52770.815927236581</v>
      </c>
      <c r="D37" s="131">
        <f>SUM(D38:D39)</f>
        <v>90470.018609403778</v>
      </c>
      <c r="E37" s="132">
        <f t="shared" si="0"/>
        <v>37699.202682167197</v>
      </c>
      <c r="F37" s="145">
        <f>SUM(F38:F39)</f>
        <v>356761.38968304894</v>
      </c>
      <c r="G37" s="145">
        <f>SUM(G38:G39)</f>
        <v>21828.290000000008</v>
      </c>
      <c r="H37" s="132">
        <f t="shared" si="1"/>
        <v>378589.67968304898</v>
      </c>
    </row>
    <row r="38" spans="1:13" ht="21" x14ac:dyDescent="0.25">
      <c r="A38" s="97">
        <v>18.100000000000001</v>
      </c>
      <c r="B38" s="123" t="s">
        <v>182</v>
      </c>
      <c r="C38" s="131"/>
      <c r="D38" s="131"/>
      <c r="E38" s="132">
        <f t="shared" si="0"/>
        <v>0</v>
      </c>
      <c r="F38" s="145"/>
      <c r="G38" s="145"/>
      <c r="H38" s="132">
        <f t="shared" si="1"/>
        <v>0</v>
      </c>
    </row>
    <row r="39" spans="1:13" x14ac:dyDescent="0.25">
      <c r="A39" s="97">
        <v>18.2</v>
      </c>
      <c r="B39" s="123" t="s">
        <v>183</v>
      </c>
      <c r="C39" s="131">
        <v>-52770.815927236581</v>
      </c>
      <c r="D39" s="131">
        <v>90470.018609403778</v>
      </c>
      <c r="E39" s="132">
        <f t="shared" si="0"/>
        <v>37699.202682167197</v>
      </c>
      <c r="F39" s="146">
        <v>356761.38968304894</v>
      </c>
      <c r="G39" s="145">
        <v>21828.290000000008</v>
      </c>
      <c r="H39" s="132">
        <f t="shared" si="1"/>
        <v>378589.67968304898</v>
      </c>
    </row>
    <row r="40" spans="1:13" ht="24.6" customHeight="1" x14ac:dyDescent="0.25">
      <c r="A40" s="97">
        <v>19</v>
      </c>
      <c r="B40" s="144" t="s">
        <v>184</v>
      </c>
      <c r="C40" s="131"/>
      <c r="D40" s="131"/>
      <c r="E40" s="132">
        <f t="shared" si="0"/>
        <v>0</v>
      </c>
      <c r="F40" s="131"/>
      <c r="G40" s="131"/>
      <c r="H40" s="132">
        <f t="shared" si="1"/>
        <v>0</v>
      </c>
    </row>
    <row r="41" spans="1:13" ht="24.95" customHeight="1" x14ac:dyDescent="0.25">
      <c r="A41" s="97">
        <v>20</v>
      </c>
      <c r="B41" s="144" t="s">
        <v>185</v>
      </c>
      <c r="C41" s="131">
        <v>159729.28678434109</v>
      </c>
      <c r="D41" s="131">
        <v>0</v>
      </c>
      <c r="E41" s="132">
        <f t="shared" si="0"/>
        <v>159729.28678434109</v>
      </c>
      <c r="F41" s="131"/>
      <c r="G41" s="131">
        <v>0</v>
      </c>
      <c r="H41" s="132">
        <f t="shared" si="1"/>
        <v>0</v>
      </c>
    </row>
    <row r="42" spans="1:13" ht="33" customHeight="1" x14ac:dyDescent="0.25">
      <c r="A42" s="97">
        <v>21</v>
      </c>
      <c r="B42" s="147" t="s">
        <v>186</v>
      </c>
      <c r="C42" s="131"/>
      <c r="D42" s="131"/>
      <c r="E42" s="132">
        <f t="shared" si="0"/>
        <v>0</v>
      </c>
      <c r="F42" s="131"/>
      <c r="G42" s="131"/>
      <c r="H42" s="132">
        <f t="shared" si="1"/>
        <v>0</v>
      </c>
    </row>
    <row r="43" spans="1:13" x14ac:dyDescent="0.25">
      <c r="A43" s="97">
        <v>22</v>
      </c>
      <c r="B43" s="148" t="s">
        <v>187</v>
      </c>
      <c r="C43" s="131">
        <f>SUM(C6,C13,C18,C19,C20,C21,C22,C23,C24,C25,C26,C27,C28,C29,C32,C33,C34,C37,C40,C41,C42)</f>
        <v>-2436653.8270593109</v>
      </c>
      <c r="D43" s="131">
        <f>SUM(D6,D13,D18,D19,D20,D21,D22,D23,D24,D25,D26,D27,D28,D29,D32,D33,D34,D37,D40,D41,D42)</f>
        <v>51986.87765772843</v>
      </c>
      <c r="E43" s="132">
        <f t="shared" si="0"/>
        <v>-2384666.9494015826</v>
      </c>
      <c r="F43" s="131">
        <f>SUM(F6,F13,F18,F19,F20,F21,F22,F23,F24,F25,F26,F27,F28,F29,F32,F33,F34,F37,F40,F41,F42)</f>
        <v>-1767696.5050258648</v>
      </c>
      <c r="G43" s="131">
        <f>SUM(G6,G13,G18,G19,G20,G21,G22,G23,G24,G25,G26,G27,G28,G29,G32,G33,G34,G37,G40,G41,G42)</f>
        <v>-125708.17281009819</v>
      </c>
      <c r="H43" s="132">
        <f t="shared" si="1"/>
        <v>-1893404.677835963</v>
      </c>
    </row>
    <row r="44" spans="1:13" x14ac:dyDescent="0.25">
      <c r="A44" s="97">
        <v>23</v>
      </c>
      <c r="B44" s="148" t="s">
        <v>188</v>
      </c>
      <c r="C44" s="131"/>
      <c r="D44" s="131"/>
      <c r="E44" s="132">
        <f t="shared" si="0"/>
        <v>0</v>
      </c>
      <c r="F44" s="131"/>
      <c r="G44" s="131"/>
      <c r="H44" s="132">
        <f t="shared" si="1"/>
        <v>0</v>
      </c>
    </row>
    <row r="45" spans="1:13" x14ac:dyDescent="0.25">
      <c r="A45" s="97">
        <v>24</v>
      </c>
      <c r="B45" s="148" t="s">
        <v>189</v>
      </c>
      <c r="C45" s="131">
        <f>C43-C44</f>
        <v>-2436653.8270593109</v>
      </c>
      <c r="D45" s="131">
        <f>D43-D44</f>
        <v>51986.87765772843</v>
      </c>
      <c r="E45" s="132">
        <f t="shared" si="0"/>
        <v>-2384666.9494015826</v>
      </c>
      <c r="F45" s="131">
        <f>F43-F44</f>
        <v>-1767696.5050258648</v>
      </c>
      <c r="G45" s="131">
        <f>G43-G44</f>
        <v>-125708.17281009819</v>
      </c>
      <c r="H45" s="132">
        <f t="shared" si="1"/>
        <v>-1893404.677835963</v>
      </c>
    </row>
    <row r="48" spans="1:13" s="24" customFormat="1" x14ac:dyDescent="0.25">
      <c r="A48"/>
      <c r="B48"/>
      <c r="C48"/>
      <c r="D48"/>
      <c r="E48"/>
      <c r="F48"/>
      <c r="G48"/>
      <c r="H48" s="121"/>
      <c r="I48"/>
      <c r="J48"/>
      <c r="K48"/>
      <c r="L48"/>
      <c r="M48"/>
    </row>
    <row r="50" spans="1:13" s="24" customFormat="1" x14ac:dyDescent="0.25">
      <c r="A50"/>
      <c r="B50"/>
      <c r="C50" s="118"/>
      <c r="D50" s="118"/>
      <c r="E50" s="118"/>
      <c r="F50" s="118"/>
      <c r="G50" s="118"/>
      <c r="H50" s="118"/>
      <c r="I50"/>
      <c r="J50"/>
      <c r="K50"/>
      <c r="L50"/>
      <c r="M50"/>
    </row>
  </sheetData>
  <mergeCells count="4">
    <mergeCell ref="A4:A5"/>
    <mergeCell ref="B4:B5"/>
    <mergeCell ref="C4:E4"/>
    <mergeCell ref="F4:H4"/>
  </mergeCells>
  <pageMargins left="0.7" right="0.7" top="0.75" bottom="0.75" header="0.3" footer="0.3"/>
  <pageSetup paperSize="0" orientation="portrait" horizontalDpi="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01F98-62AA-40D0-A5CE-09A4D563E4FD}">
  <dimension ref="A1:J47"/>
  <sheetViews>
    <sheetView topLeftCell="A26" zoomScaleNormal="100" workbookViewId="0">
      <selection activeCell="F47" sqref="F47"/>
    </sheetView>
  </sheetViews>
  <sheetFormatPr defaultRowHeight="15" x14ac:dyDescent="0.25"/>
  <cols>
    <col min="1" max="1" width="9.140625" style="127"/>
    <col min="2" max="2" width="87.5703125" bestFit="1" customWidth="1"/>
    <col min="3" max="3" width="15.7109375" customWidth="1"/>
    <col min="4" max="5" width="12.7109375" customWidth="1"/>
    <col min="6" max="6" width="14.28515625" customWidth="1"/>
    <col min="7" max="7" width="14.140625" customWidth="1"/>
    <col min="8" max="8" width="12.7109375" customWidth="1"/>
  </cols>
  <sheetData>
    <row r="1" spans="1:8" ht="15.75" x14ac:dyDescent="0.3">
      <c r="A1" s="20" t="s">
        <v>41</v>
      </c>
      <c r="B1" s="21" t="str">
        <f>Info!C2</f>
        <v>სს სილქ ბანკი</v>
      </c>
      <c r="C1" s="22"/>
      <c r="D1" s="19"/>
      <c r="E1" s="19"/>
      <c r="F1" s="19"/>
      <c r="G1" s="19"/>
    </row>
    <row r="2" spans="1:8" ht="15.75" x14ac:dyDescent="0.3">
      <c r="A2" s="20" t="s">
        <v>42</v>
      </c>
      <c r="B2" s="23">
        <f>'1. key ratios'!B2</f>
        <v>45107</v>
      </c>
      <c r="C2" s="22"/>
      <c r="D2" s="19"/>
      <c r="E2" s="19"/>
      <c r="F2" s="19"/>
      <c r="G2" s="19"/>
    </row>
    <row r="3" spans="1:8" ht="16.5" thickBot="1" x14ac:dyDescent="0.35">
      <c r="A3" s="20"/>
      <c r="B3" s="22"/>
      <c r="C3" s="22"/>
      <c r="D3" s="19"/>
      <c r="E3" s="19"/>
      <c r="F3" s="19"/>
      <c r="G3" s="19"/>
    </row>
    <row r="4" spans="1:8" ht="15.75" x14ac:dyDescent="0.3">
      <c r="A4" s="721" t="s">
        <v>46</v>
      </c>
      <c r="B4" s="734" t="s">
        <v>190</v>
      </c>
      <c r="C4" s="735" t="s">
        <v>88</v>
      </c>
      <c r="D4" s="735"/>
      <c r="E4" s="735"/>
      <c r="F4" s="735" t="s">
        <v>89</v>
      </c>
      <c r="G4" s="735"/>
      <c r="H4" s="736"/>
    </row>
    <row r="5" spans="1:8" x14ac:dyDescent="0.25">
      <c r="A5" s="721"/>
      <c r="B5" s="734"/>
      <c r="C5" s="129" t="s">
        <v>90</v>
      </c>
      <c r="D5" s="129" t="s">
        <v>91</v>
      </c>
      <c r="E5" s="129" t="s">
        <v>92</v>
      </c>
      <c r="F5" s="129" t="s">
        <v>90</v>
      </c>
      <c r="G5" s="129" t="s">
        <v>91</v>
      </c>
      <c r="H5" s="150" t="s">
        <v>92</v>
      </c>
    </row>
    <row r="6" spans="1:8" ht="15.75" x14ac:dyDescent="0.3">
      <c r="A6" s="100">
        <v>1</v>
      </c>
      <c r="B6" s="151" t="s">
        <v>191</v>
      </c>
      <c r="C6" s="152">
        <v>0</v>
      </c>
      <c r="D6" s="152">
        <v>0</v>
      </c>
      <c r="E6" s="153">
        <f t="shared" ref="E6:E43" si="0">C6+D6</f>
        <v>0</v>
      </c>
      <c r="F6" s="152">
        <v>0</v>
      </c>
      <c r="G6" s="152">
        <v>0</v>
      </c>
      <c r="H6" s="154">
        <f t="shared" ref="H6:H43" si="1">F6+G6</f>
        <v>0</v>
      </c>
    </row>
    <row r="7" spans="1:8" ht="15.75" x14ac:dyDescent="0.3">
      <c r="A7" s="100">
        <v>2</v>
      </c>
      <c r="B7" s="151" t="s">
        <v>192</v>
      </c>
      <c r="C7" s="152">
        <v>0</v>
      </c>
      <c r="D7" s="152">
        <v>0</v>
      </c>
      <c r="E7" s="153">
        <f t="shared" si="0"/>
        <v>0</v>
      </c>
      <c r="F7" s="152">
        <v>0</v>
      </c>
      <c r="G7" s="152">
        <v>0</v>
      </c>
      <c r="H7" s="154">
        <f t="shared" si="1"/>
        <v>0</v>
      </c>
    </row>
    <row r="8" spans="1:8" ht="15.75" x14ac:dyDescent="0.3">
      <c r="A8" s="100">
        <v>3</v>
      </c>
      <c r="B8" s="151" t="s">
        <v>193</v>
      </c>
      <c r="C8" s="152">
        <f>C9+C10</f>
        <v>117000</v>
      </c>
      <c r="D8" s="152">
        <f>D9+D10</f>
        <v>53401080</v>
      </c>
      <c r="E8" s="153">
        <f t="shared" si="0"/>
        <v>53518080</v>
      </c>
      <c r="F8" s="152">
        <f>F9+F10</f>
        <v>191000</v>
      </c>
      <c r="G8" s="152">
        <f>G9+G10</f>
        <v>5857800</v>
      </c>
      <c r="H8" s="154">
        <f t="shared" si="1"/>
        <v>6048800</v>
      </c>
    </row>
    <row r="9" spans="1:8" ht="15.75" x14ac:dyDescent="0.3">
      <c r="A9" s="100">
        <v>3.1</v>
      </c>
      <c r="B9" s="155" t="s">
        <v>194</v>
      </c>
      <c r="C9" s="152">
        <v>117000</v>
      </c>
      <c r="D9" s="152">
        <v>53401080</v>
      </c>
      <c r="E9" s="153">
        <f t="shared" si="0"/>
        <v>53518080</v>
      </c>
      <c r="F9" s="152">
        <v>191000</v>
      </c>
      <c r="G9" s="152">
        <v>5857800</v>
      </c>
      <c r="H9" s="154">
        <f t="shared" si="1"/>
        <v>6048800</v>
      </c>
    </row>
    <row r="10" spans="1:8" ht="15.75" x14ac:dyDescent="0.3">
      <c r="A10" s="100">
        <v>3.2</v>
      </c>
      <c r="B10" s="155" t="s">
        <v>195</v>
      </c>
      <c r="C10" s="152">
        <v>0</v>
      </c>
      <c r="D10" s="152">
        <v>0</v>
      </c>
      <c r="E10" s="153">
        <f t="shared" si="0"/>
        <v>0</v>
      </c>
      <c r="F10" s="152">
        <v>0</v>
      </c>
      <c r="G10" s="152">
        <v>0</v>
      </c>
      <c r="H10" s="154">
        <f t="shared" si="1"/>
        <v>0</v>
      </c>
    </row>
    <row r="11" spans="1:8" ht="15.75" x14ac:dyDescent="0.3">
      <c r="A11" s="100">
        <v>4</v>
      </c>
      <c r="B11" s="151" t="s">
        <v>196</v>
      </c>
      <c r="C11" s="152">
        <f>C12+C13</f>
        <v>0</v>
      </c>
      <c r="D11" s="152">
        <f>D12+D13</f>
        <v>0</v>
      </c>
      <c r="E11" s="153">
        <f t="shared" si="0"/>
        <v>0</v>
      </c>
      <c r="F11" s="152">
        <f>F12+F13</f>
        <v>8257000</v>
      </c>
      <c r="G11" s="152">
        <f>G12+G13</f>
        <v>0</v>
      </c>
      <c r="H11" s="154">
        <f t="shared" si="1"/>
        <v>8257000</v>
      </c>
    </row>
    <row r="12" spans="1:8" ht="15.75" x14ac:dyDescent="0.3">
      <c r="A12" s="100">
        <v>4.0999999999999996</v>
      </c>
      <c r="B12" s="155" t="s">
        <v>197</v>
      </c>
      <c r="C12" s="152">
        <v>0</v>
      </c>
      <c r="D12" s="152">
        <v>0</v>
      </c>
      <c r="E12" s="153">
        <f t="shared" si="0"/>
        <v>0</v>
      </c>
      <c r="F12" s="152">
        <v>8257000</v>
      </c>
      <c r="G12" s="152">
        <v>0</v>
      </c>
      <c r="H12" s="154">
        <f t="shared" si="1"/>
        <v>8257000</v>
      </c>
    </row>
    <row r="13" spans="1:8" ht="15.75" x14ac:dyDescent="0.3">
      <c r="A13" s="100">
        <v>4.2</v>
      </c>
      <c r="B13" s="155" t="s">
        <v>198</v>
      </c>
      <c r="C13" s="152">
        <v>0</v>
      </c>
      <c r="D13" s="152">
        <v>0</v>
      </c>
      <c r="E13" s="153">
        <f t="shared" si="0"/>
        <v>0</v>
      </c>
      <c r="F13" s="152">
        <v>0</v>
      </c>
      <c r="G13" s="152">
        <v>0</v>
      </c>
      <c r="H13" s="154">
        <f t="shared" si="1"/>
        <v>0</v>
      </c>
    </row>
    <row r="14" spans="1:8" ht="15.75" x14ac:dyDescent="0.3">
      <c r="A14" s="100">
        <v>5</v>
      </c>
      <c r="B14" s="156" t="s">
        <v>199</v>
      </c>
      <c r="C14" s="152">
        <f>C15+C16+C17+C23+C24+C25+C26</f>
        <v>600000</v>
      </c>
      <c r="D14" s="152">
        <f>D15+D16+D17+D23+D24+D25+D26</f>
        <v>35381614.899999999</v>
      </c>
      <c r="E14" s="153">
        <f t="shared" si="0"/>
        <v>35981614.899999999</v>
      </c>
      <c r="F14" s="152">
        <f>F15+F16+F17+F23+F24+F25+F26</f>
        <v>1216000</v>
      </c>
      <c r="G14" s="152">
        <f>G15+G16+G17+G23+G24+G25+G26</f>
        <v>18204927.510000002</v>
      </c>
      <c r="H14" s="154">
        <f t="shared" si="1"/>
        <v>19420927.510000002</v>
      </c>
    </row>
    <row r="15" spans="1:8" ht="15.75" x14ac:dyDescent="0.3">
      <c r="A15" s="100">
        <v>5.0999999999999996</v>
      </c>
      <c r="B15" s="157" t="s">
        <v>200</v>
      </c>
      <c r="C15" s="152">
        <v>585000</v>
      </c>
      <c r="D15" s="152">
        <v>31412.400000000001</v>
      </c>
      <c r="E15" s="153">
        <f t="shared" si="0"/>
        <v>616412.4</v>
      </c>
      <c r="F15" s="152">
        <v>1201000</v>
      </c>
      <c r="G15" s="152">
        <v>35146.800000000003</v>
      </c>
      <c r="H15" s="154">
        <f t="shared" si="1"/>
        <v>1236146.8</v>
      </c>
    </row>
    <row r="16" spans="1:8" ht="15.75" x14ac:dyDescent="0.3">
      <c r="A16" s="100">
        <v>5.2</v>
      </c>
      <c r="B16" s="157" t="s">
        <v>201</v>
      </c>
      <c r="C16" s="152">
        <v>0</v>
      </c>
      <c r="D16" s="152">
        <v>0</v>
      </c>
      <c r="E16" s="153">
        <f t="shared" si="0"/>
        <v>0</v>
      </c>
      <c r="F16" s="152">
        <v>0</v>
      </c>
      <c r="G16" s="152">
        <v>0</v>
      </c>
      <c r="H16" s="154">
        <f t="shared" si="1"/>
        <v>0</v>
      </c>
    </row>
    <row r="17" spans="1:10" ht="15.75" x14ac:dyDescent="0.3">
      <c r="A17" s="100">
        <v>5.3</v>
      </c>
      <c r="B17" s="157" t="s">
        <v>202</v>
      </c>
      <c r="C17" s="152">
        <f>C18+C19+C20+C21+C22</f>
        <v>0</v>
      </c>
      <c r="D17" s="152">
        <f>D18+D19+D20+D21+D22</f>
        <v>34942103.07</v>
      </c>
      <c r="E17" s="153">
        <f t="shared" si="0"/>
        <v>34942103.07</v>
      </c>
      <c r="F17" s="152">
        <v>0</v>
      </c>
      <c r="G17" s="152">
        <v>18169780.710000001</v>
      </c>
      <c r="H17" s="154">
        <f t="shared" si="1"/>
        <v>18169780.710000001</v>
      </c>
    </row>
    <row r="18" spans="1:10" ht="15.75" x14ac:dyDescent="0.3">
      <c r="A18" s="100" t="s">
        <v>203</v>
      </c>
      <c r="B18" s="158" t="s">
        <v>204</v>
      </c>
      <c r="C18" s="152">
        <v>0</v>
      </c>
      <c r="D18" s="152">
        <v>9038918.0999999996</v>
      </c>
      <c r="E18" s="153">
        <f t="shared" si="0"/>
        <v>9038918.0999999996</v>
      </c>
      <c r="F18" s="152">
        <v>0</v>
      </c>
      <c r="G18" s="152">
        <v>5937029.4400000004</v>
      </c>
      <c r="H18" s="154">
        <f t="shared" si="1"/>
        <v>5937029.4400000004</v>
      </c>
    </row>
    <row r="19" spans="1:10" ht="15.75" x14ac:dyDescent="0.3">
      <c r="A19" s="100" t="s">
        <v>205</v>
      </c>
      <c r="B19" s="159" t="s">
        <v>206</v>
      </c>
      <c r="C19" s="152">
        <v>0</v>
      </c>
      <c r="D19" s="152">
        <v>8439203.0299999993</v>
      </c>
      <c r="E19" s="153">
        <f t="shared" si="0"/>
        <v>8439203.0299999993</v>
      </c>
      <c r="F19" s="152">
        <v>0</v>
      </c>
      <c r="G19" s="152">
        <v>7386392.9100000001</v>
      </c>
      <c r="H19" s="154">
        <f t="shared" si="1"/>
        <v>7386392.9100000001</v>
      </c>
    </row>
    <row r="20" spans="1:10" ht="15.75" x14ac:dyDescent="0.3">
      <c r="A20" s="100" t="s">
        <v>207</v>
      </c>
      <c r="B20" s="159" t="s">
        <v>208</v>
      </c>
      <c r="C20" s="152">
        <v>0</v>
      </c>
      <c r="D20" s="152">
        <v>0</v>
      </c>
      <c r="E20" s="153">
        <f t="shared" si="0"/>
        <v>0</v>
      </c>
      <c r="F20" s="152">
        <v>0</v>
      </c>
      <c r="G20" s="152">
        <v>0</v>
      </c>
      <c r="H20" s="154">
        <f t="shared" si="1"/>
        <v>0</v>
      </c>
    </row>
    <row r="21" spans="1:10" ht="15.75" x14ac:dyDescent="0.3">
      <c r="A21" s="100" t="s">
        <v>209</v>
      </c>
      <c r="B21" s="159" t="s">
        <v>210</v>
      </c>
      <c r="C21" s="152">
        <v>0</v>
      </c>
      <c r="D21" s="152">
        <v>17463981.940000001</v>
      </c>
      <c r="E21" s="153">
        <f t="shared" si="0"/>
        <v>17463981.940000001</v>
      </c>
      <c r="F21" s="152">
        <v>0</v>
      </c>
      <c r="G21" s="152">
        <v>4846358.3600000003</v>
      </c>
      <c r="H21" s="154">
        <f t="shared" si="1"/>
        <v>4846358.3600000003</v>
      </c>
    </row>
    <row r="22" spans="1:10" ht="15.75" x14ac:dyDescent="0.3">
      <c r="A22" s="100" t="s">
        <v>211</v>
      </c>
      <c r="B22" s="159" t="s">
        <v>212</v>
      </c>
      <c r="C22" s="152">
        <v>0</v>
      </c>
      <c r="D22" s="152">
        <v>0</v>
      </c>
      <c r="E22" s="153">
        <f t="shared" si="0"/>
        <v>0</v>
      </c>
      <c r="F22" s="152">
        <v>0</v>
      </c>
      <c r="G22" s="152">
        <v>0</v>
      </c>
      <c r="H22" s="154">
        <f t="shared" si="1"/>
        <v>0</v>
      </c>
    </row>
    <row r="23" spans="1:10" ht="15.75" x14ac:dyDescent="0.3">
      <c r="A23" s="100">
        <v>5.4</v>
      </c>
      <c r="B23" s="157" t="s">
        <v>213</v>
      </c>
      <c r="C23" s="152">
        <v>15000</v>
      </c>
      <c r="D23" s="152">
        <v>408099.43</v>
      </c>
      <c r="E23" s="153">
        <f t="shared" si="0"/>
        <v>423099.43</v>
      </c>
      <c r="F23" s="152">
        <v>15000</v>
      </c>
      <c r="G23" s="152">
        <v>0</v>
      </c>
      <c r="H23" s="154">
        <f t="shared" si="1"/>
        <v>15000</v>
      </c>
    </row>
    <row r="24" spans="1:10" ht="15.75" x14ac:dyDescent="0.3">
      <c r="A24" s="100">
        <v>5.5</v>
      </c>
      <c r="B24" s="157" t="s">
        <v>214</v>
      </c>
      <c r="C24" s="152">
        <v>0</v>
      </c>
      <c r="D24" s="152">
        <v>0</v>
      </c>
      <c r="E24" s="153">
        <f t="shared" si="0"/>
        <v>0</v>
      </c>
      <c r="F24" s="152">
        <v>0</v>
      </c>
      <c r="G24" s="152">
        <v>0</v>
      </c>
      <c r="H24" s="154">
        <f t="shared" si="1"/>
        <v>0</v>
      </c>
    </row>
    <row r="25" spans="1:10" ht="15.75" x14ac:dyDescent="0.3">
      <c r="A25" s="100">
        <v>5.6</v>
      </c>
      <c r="B25" s="157" t="s">
        <v>215</v>
      </c>
      <c r="C25" s="152">
        <v>0</v>
      </c>
      <c r="D25" s="152">
        <v>0</v>
      </c>
      <c r="E25" s="153">
        <f t="shared" si="0"/>
        <v>0</v>
      </c>
      <c r="F25" s="152">
        <v>0</v>
      </c>
      <c r="G25" s="152">
        <v>0</v>
      </c>
      <c r="H25" s="154">
        <f t="shared" si="1"/>
        <v>0</v>
      </c>
    </row>
    <row r="26" spans="1:10" ht="15.75" x14ac:dyDescent="0.3">
      <c r="A26" s="100">
        <v>5.7</v>
      </c>
      <c r="B26" s="157" t="s">
        <v>212</v>
      </c>
      <c r="C26" s="152">
        <v>0</v>
      </c>
      <c r="D26" s="152">
        <v>0</v>
      </c>
      <c r="E26" s="153">
        <f t="shared" si="0"/>
        <v>0</v>
      </c>
      <c r="F26" s="152">
        <v>0</v>
      </c>
      <c r="G26" s="152">
        <v>0</v>
      </c>
      <c r="H26" s="154">
        <f t="shared" si="1"/>
        <v>0</v>
      </c>
    </row>
    <row r="27" spans="1:10" ht="15.75" x14ac:dyDescent="0.3">
      <c r="A27" s="100">
        <v>6</v>
      </c>
      <c r="B27" s="156" t="s">
        <v>216</v>
      </c>
      <c r="C27" s="152">
        <v>182054.58</v>
      </c>
      <c r="D27" s="152">
        <v>2094160</v>
      </c>
      <c r="E27" s="153">
        <f t="shared" si="0"/>
        <v>2276214.58</v>
      </c>
      <c r="F27" s="152">
        <v>87642.53</v>
      </c>
      <c r="G27" s="152">
        <v>29138.86</v>
      </c>
      <c r="H27" s="154">
        <f t="shared" si="1"/>
        <v>116781.39</v>
      </c>
    </row>
    <row r="28" spans="1:10" ht="15.75" x14ac:dyDescent="0.3">
      <c r="A28" s="100">
        <v>7</v>
      </c>
      <c r="B28" s="156" t="s">
        <v>217</v>
      </c>
      <c r="C28" s="152">
        <v>739100</v>
      </c>
      <c r="D28" s="152">
        <v>26177</v>
      </c>
      <c r="E28" s="153">
        <f t="shared" si="0"/>
        <v>765277</v>
      </c>
      <c r="F28" s="152">
        <v>1289500</v>
      </c>
      <c r="G28" s="152">
        <v>29289</v>
      </c>
      <c r="H28" s="154">
        <f t="shared" si="1"/>
        <v>1318789</v>
      </c>
    </row>
    <row r="29" spans="1:10" ht="15.75" x14ac:dyDescent="0.3">
      <c r="A29" s="100">
        <v>8</v>
      </c>
      <c r="B29" s="156" t="s">
        <v>218</v>
      </c>
      <c r="C29" s="152">
        <v>0</v>
      </c>
      <c r="D29" s="152">
        <v>0</v>
      </c>
      <c r="E29" s="153">
        <f t="shared" si="0"/>
        <v>0</v>
      </c>
      <c r="F29" s="152">
        <v>0</v>
      </c>
      <c r="G29" s="152">
        <v>0</v>
      </c>
      <c r="H29" s="154">
        <f t="shared" si="1"/>
        <v>0</v>
      </c>
    </row>
    <row r="30" spans="1:10" ht="15.75" x14ac:dyDescent="0.3">
      <c r="A30" s="100">
        <v>9</v>
      </c>
      <c r="B30" s="151" t="s">
        <v>219</v>
      </c>
      <c r="C30" s="152">
        <f>C31+C32+C33+C34+C35+C36+C37</f>
        <v>5496350</v>
      </c>
      <c r="D30" s="152">
        <f>D31+D32+D33+D34+D35+D36+D37</f>
        <v>5235400</v>
      </c>
      <c r="E30" s="153">
        <f t="shared" si="0"/>
        <v>10731750</v>
      </c>
      <c r="F30" s="152">
        <f>F31+F32+F33+F34+F35+F36+F37</f>
        <v>3967200</v>
      </c>
      <c r="G30" s="152">
        <f>G31+G32+G33+G34+G35+G36+G37</f>
        <v>5857800</v>
      </c>
      <c r="H30" s="154">
        <f t="shared" si="1"/>
        <v>9825000</v>
      </c>
    </row>
    <row r="31" spans="1:10" ht="25.5" x14ac:dyDescent="0.3">
      <c r="A31" s="100">
        <v>9.1</v>
      </c>
      <c r="B31" s="155" t="s">
        <v>220</v>
      </c>
      <c r="C31" s="152">
        <v>0</v>
      </c>
      <c r="D31" s="152">
        <v>0</v>
      </c>
      <c r="E31" s="153">
        <f>C31+D31</f>
        <v>0</v>
      </c>
      <c r="F31" s="152">
        <v>0</v>
      </c>
      <c r="G31" s="152">
        <v>0</v>
      </c>
      <c r="H31" s="154">
        <f t="shared" si="1"/>
        <v>0</v>
      </c>
      <c r="J31" s="160"/>
    </row>
    <row r="32" spans="1:10" ht="25.5" x14ac:dyDescent="0.3">
      <c r="A32" s="100">
        <v>9.1999999999999993</v>
      </c>
      <c r="B32" s="155" t="s">
        <v>221</v>
      </c>
      <c r="C32" s="152">
        <v>5496350</v>
      </c>
      <c r="D32" s="152">
        <v>5235400</v>
      </c>
      <c r="E32" s="153">
        <f t="shared" si="0"/>
        <v>10731750</v>
      </c>
      <c r="F32" s="152">
        <v>3967200</v>
      </c>
      <c r="G32" s="152">
        <v>5857800</v>
      </c>
      <c r="H32" s="154">
        <f t="shared" si="1"/>
        <v>9825000</v>
      </c>
    </row>
    <row r="33" spans="1:8" ht="15.75" x14ac:dyDescent="0.3">
      <c r="A33" s="100">
        <v>9.3000000000000007</v>
      </c>
      <c r="B33" s="155" t="s">
        <v>222</v>
      </c>
      <c r="C33" s="152">
        <v>0</v>
      </c>
      <c r="D33" s="152">
        <v>0</v>
      </c>
      <c r="E33" s="153">
        <f t="shared" si="0"/>
        <v>0</v>
      </c>
      <c r="F33" s="152">
        <v>0</v>
      </c>
      <c r="G33" s="152">
        <v>0</v>
      </c>
      <c r="H33" s="154">
        <f t="shared" si="1"/>
        <v>0</v>
      </c>
    </row>
    <row r="34" spans="1:8" ht="15.75" x14ac:dyDescent="0.3">
      <c r="A34" s="100">
        <v>9.4</v>
      </c>
      <c r="B34" s="155" t="s">
        <v>223</v>
      </c>
      <c r="C34" s="152">
        <v>0</v>
      </c>
      <c r="D34" s="152">
        <v>0</v>
      </c>
      <c r="E34" s="153">
        <f t="shared" si="0"/>
        <v>0</v>
      </c>
      <c r="F34" s="152">
        <v>0</v>
      </c>
      <c r="G34" s="152">
        <v>0</v>
      </c>
      <c r="H34" s="154">
        <f t="shared" si="1"/>
        <v>0</v>
      </c>
    </row>
    <row r="35" spans="1:8" ht="15.75" x14ac:dyDescent="0.3">
      <c r="A35" s="100">
        <v>9.5</v>
      </c>
      <c r="B35" s="155" t="s">
        <v>224</v>
      </c>
      <c r="C35" s="152">
        <v>0</v>
      </c>
      <c r="D35" s="152">
        <v>0</v>
      </c>
      <c r="E35" s="153">
        <f t="shared" si="0"/>
        <v>0</v>
      </c>
      <c r="F35" s="152">
        <v>0</v>
      </c>
      <c r="G35" s="152">
        <v>0</v>
      </c>
      <c r="H35" s="154">
        <f t="shared" si="1"/>
        <v>0</v>
      </c>
    </row>
    <row r="36" spans="1:8" ht="25.5" x14ac:dyDescent="0.3">
      <c r="A36" s="100">
        <v>9.6</v>
      </c>
      <c r="B36" s="155" t="s">
        <v>225</v>
      </c>
      <c r="C36" s="152">
        <v>0</v>
      </c>
      <c r="D36" s="152">
        <v>0</v>
      </c>
      <c r="E36" s="153">
        <f t="shared" si="0"/>
        <v>0</v>
      </c>
      <c r="F36" s="152">
        <v>0</v>
      </c>
      <c r="G36" s="152">
        <v>0</v>
      </c>
      <c r="H36" s="154">
        <f t="shared" si="1"/>
        <v>0</v>
      </c>
    </row>
    <row r="37" spans="1:8" ht="25.5" x14ac:dyDescent="0.3">
      <c r="A37" s="100">
        <v>9.6999999999999993</v>
      </c>
      <c r="B37" s="155" t="s">
        <v>226</v>
      </c>
      <c r="C37" s="152">
        <v>0</v>
      </c>
      <c r="D37" s="152">
        <v>0</v>
      </c>
      <c r="E37" s="153">
        <f t="shared" si="0"/>
        <v>0</v>
      </c>
      <c r="F37" s="152">
        <v>0</v>
      </c>
      <c r="G37" s="152">
        <v>0</v>
      </c>
      <c r="H37" s="154">
        <f t="shared" si="1"/>
        <v>0</v>
      </c>
    </row>
    <row r="38" spans="1:8" ht="15.75" x14ac:dyDescent="0.3">
      <c r="A38" s="100">
        <v>10</v>
      </c>
      <c r="B38" s="156" t="s">
        <v>227</v>
      </c>
      <c r="C38" s="152">
        <f>C39+C40+C41+C42</f>
        <v>1421994.72</v>
      </c>
      <c r="D38" s="152">
        <f>D39+D40+D41+D42</f>
        <v>1601362</v>
      </c>
      <c r="E38" s="153">
        <f t="shared" si="0"/>
        <v>3023356.7199999997</v>
      </c>
      <c r="F38" s="152">
        <f>F39+F40+F41+F42</f>
        <v>8675452</v>
      </c>
      <c r="G38" s="152">
        <f>G39+G40+G41+G42</f>
        <v>6425042</v>
      </c>
      <c r="H38" s="154">
        <f t="shared" si="1"/>
        <v>15100494</v>
      </c>
    </row>
    <row r="39" spans="1:8" ht="15.75" x14ac:dyDescent="0.3">
      <c r="A39" s="100">
        <v>10.1</v>
      </c>
      <c r="B39" s="155" t="s">
        <v>228</v>
      </c>
      <c r="C39" s="152">
        <v>3054.86</v>
      </c>
      <c r="D39" s="152">
        <v>0</v>
      </c>
      <c r="E39" s="153">
        <f t="shared" si="0"/>
        <v>3054.86</v>
      </c>
      <c r="F39" s="152">
        <v>50149</v>
      </c>
      <c r="G39" s="152">
        <v>0</v>
      </c>
      <c r="H39" s="154">
        <f t="shared" si="1"/>
        <v>50149</v>
      </c>
    </row>
    <row r="40" spans="1:8" ht="25.5" x14ac:dyDescent="0.3">
      <c r="A40" s="100">
        <v>10.199999999999999</v>
      </c>
      <c r="B40" s="155" t="s">
        <v>229</v>
      </c>
      <c r="C40" s="152">
        <v>213481</v>
      </c>
      <c r="D40" s="152">
        <v>550019</v>
      </c>
      <c r="E40" s="153">
        <f t="shared" si="0"/>
        <v>763500</v>
      </c>
      <c r="F40" s="152">
        <v>1141496</v>
      </c>
      <c r="G40" s="152">
        <v>1407848</v>
      </c>
      <c r="H40" s="154">
        <f t="shared" si="1"/>
        <v>2549344</v>
      </c>
    </row>
    <row r="41" spans="1:8" ht="25.5" x14ac:dyDescent="0.3">
      <c r="A41" s="100">
        <v>10.3</v>
      </c>
      <c r="B41" s="155" t="s">
        <v>230</v>
      </c>
      <c r="C41" s="152">
        <v>697714.86</v>
      </c>
      <c r="D41" s="152">
        <v>423768</v>
      </c>
      <c r="E41" s="153">
        <f t="shared" si="0"/>
        <v>1121482.8599999999</v>
      </c>
      <c r="F41" s="152">
        <v>4146758</v>
      </c>
      <c r="G41" s="152">
        <v>1168220</v>
      </c>
      <c r="H41" s="154">
        <f t="shared" si="1"/>
        <v>5314978</v>
      </c>
    </row>
    <row r="42" spans="1:8" ht="25.5" x14ac:dyDescent="0.3">
      <c r="A42" s="100">
        <v>10.4</v>
      </c>
      <c r="B42" s="155" t="s">
        <v>231</v>
      </c>
      <c r="C42" s="152">
        <v>507744</v>
      </c>
      <c r="D42" s="152">
        <v>627575</v>
      </c>
      <c r="E42" s="153">
        <f t="shared" si="0"/>
        <v>1135319</v>
      </c>
      <c r="F42" s="152">
        <v>3337049</v>
      </c>
      <c r="G42" s="152">
        <v>3848974</v>
      </c>
      <c r="H42" s="154">
        <f t="shared" si="1"/>
        <v>7186023</v>
      </c>
    </row>
    <row r="43" spans="1:8" ht="15.75" x14ac:dyDescent="0.3">
      <c r="A43" s="100">
        <v>11</v>
      </c>
      <c r="B43" s="161" t="s">
        <v>232</v>
      </c>
      <c r="C43" s="152">
        <v>0</v>
      </c>
      <c r="D43" s="152">
        <v>0</v>
      </c>
      <c r="E43" s="153">
        <f t="shared" si="0"/>
        <v>0</v>
      </c>
      <c r="F43" s="152">
        <v>0</v>
      </c>
      <c r="G43" s="152">
        <v>0</v>
      </c>
      <c r="H43" s="154">
        <f t="shared" si="1"/>
        <v>0</v>
      </c>
    </row>
    <row r="44" spans="1:8" ht="15.75" x14ac:dyDescent="0.3">
      <c r="C44" s="162"/>
      <c r="D44" s="162"/>
      <c r="E44" s="162"/>
      <c r="F44" s="162"/>
      <c r="G44" s="162"/>
      <c r="H44" s="162"/>
    </row>
    <row r="45" spans="1:8" ht="15.75" x14ac:dyDescent="0.3">
      <c r="C45" s="162"/>
      <c r="D45" s="162"/>
      <c r="E45" s="162"/>
      <c r="F45" s="162"/>
      <c r="G45" s="162"/>
      <c r="H45" s="162"/>
    </row>
    <row r="46" spans="1:8" ht="15.75" x14ac:dyDescent="0.3">
      <c r="C46" s="162"/>
      <c r="D46" s="162"/>
      <c r="E46" s="162"/>
      <c r="F46" s="162"/>
      <c r="G46" s="162"/>
      <c r="H46" s="162"/>
    </row>
    <row r="47" spans="1:8" ht="15.75" x14ac:dyDescent="0.3">
      <c r="C47" s="162"/>
      <c r="D47" s="162"/>
      <c r="E47" s="162"/>
      <c r="F47" s="162"/>
      <c r="G47" s="162"/>
      <c r="H47" s="162"/>
    </row>
  </sheetData>
  <mergeCells count="4">
    <mergeCell ref="A4:A5"/>
    <mergeCell ref="B4:B5"/>
    <mergeCell ref="C4:E4"/>
    <mergeCell ref="F4:H4"/>
  </mergeCells>
  <pageMargins left="0.7" right="0.7" top="0.75" bottom="0.75" header="0.3" footer="0.3"/>
  <pageSetup paperSize="0" orientation="portrait" horizontalDpi="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387B6-477D-4098-B002-30E5BD37BB52}">
  <dimension ref="A1:G18"/>
  <sheetViews>
    <sheetView zoomScaleNormal="100" workbookViewId="0">
      <pane xSplit="1" ySplit="4" topLeftCell="B5" activePane="bottomRight" state="frozen"/>
      <selection activeCell="H50" sqref="H50"/>
      <selection pane="topRight" activeCell="H50" sqref="H50"/>
      <selection pane="bottomLeft" activeCell="H50" sqref="H50"/>
      <selection pane="bottomRight" activeCell="D19" sqref="D19"/>
    </sheetView>
  </sheetViews>
  <sheetFormatPr defaultColWidth="9.140625" defaultRowHeight="12.75" x14ac:dyDescent="0.2"/>
  <cols>
    <col min="1" max="1" width="9.5703125" style="19" bestFit="1" customWidth="1"/>
    <col min="2" max="2" width="93.5703125" style="19" customWidth="1"/>
    <col min="3" max="5" width="11.7109375" style="19" customWidth="1"/>
    <col min="6" max="7" width="11.7109375" style="163" customWidth="1"/>
    <col min="8" max="8" width="9.7109375" style="163" customWidth="1"/>
    <col min="9" max="16384" width="9.140625" style="163"/>
  </cols>
  <sheetData>
    <row r="1" spans="1:7" ht="15" x14ac:dyDescent="0.3">
      <c r="A1" s="20" t="s">
        <v>41</v>
      </c>
      <c r="B1" s="22" t="str">
        <f>Info!C2</f>
        <v>სს სილქ ბანკი</v>
      </c>
      <c r="C1" s="22"/>
      <c r="D1" s="22"/>
      <c r="E1" s="22"/>
    </row>
    <row r="2" spans="1:7" ht="15" x14ac:dyDescent="0.3">
      <c r="A2" s="20" t="s">
        <v>42</v>
      </c>
      <c r="B2" s="23">
        <f>'1. key ratios'!B2</f>
        <v>45107</v>
      </c>
      <c r="C2" s="22"/>
      <c r="D2" s="22"/>
      <c r="E2" s="22"/>
    </row>
    <row r="3" spans="1:7" ht="15" x14ac:dyDescent="0.3">
      <c r="A3" s="20"/>
      <c r="B3" s="22"/>
      <c r="C3" s="22"/>
      <c r="D3" s="22"/>
      <c r="E3" s="22"/>
    </row>
    <row r="4" spans="1:7" ht="15" customHeight="1" thickBot="1" x14ac:dyDescent="0.35">
      <c r="A4" s="164" t="s">
        <v>233</v>
      </c>
      <c r="B4" s="165" t="s">
        <v>16</v>
      </c>
      <c r="C4" s="166" t="s">
        <v>234</v>
      </c>
      <c r="D4" s="166"/>
      <c r="E4" s="166"/>
    </row>
    <row r="5" spans="1:7" ht="15" customHeight="1" x14ac:dyDescent="0.2">
      <c r="A5" s="167" t="s">
        <v>46</v>
      </c>
      <c r="B5" s="168"/>
      <c r="C5" s="169" t="str">
        <f>INT((MONTH($B$2))/3)&amp;"Q"&amp;"-"&amp;YEAR($B$2)</f>
        <v>2Q-2023</v>
      </c>
      <c r="D5" s="169" t="str">
        <f>IF(INT(MONTH($B$2))=3, "4"&amp;"Q"&amp;"-"&amp;YEAR($B$2)-1, IF(INT(MONTH($B$2))=6, "1"&amp;"Q"&amp;"-"&amp;YEAR($B$2), IF(INT(MONTH($B$2))=9, "2"&amp;"Q"&amp;"-"&amp;YEAR($B$2),IF(INT(MONTH($B$2))=12, "3"&amp;"Q"&amp;"-"&amp;YEAR($B$2), 0))))</f>
        <v>1Q-2023</v>
      </c>
      <c r="E5" s="169" t="str">
        <f>IF(INT(MONTH($B$2))=3, "3"&amp;"Q"&amp;"-"&amp;YEAR($B$2)-1, IF(INT(MONTH($B$2))=6, "4"&amp;"Q"&amp;"-"&amp;YEAR($B$2)-1, IF(INT(MONTH($B$2))=9, "1"&amp;"Q"&amp;"-"&amp;YEAR($B$2),IF(INT(MONTH($B$2))=12, "2"&amp;"Q"&amp;"-"&amp;YEAR($B$2), 0))))</f>
        <v>4Q-2022</v>
      </c>
      <c r="F5" s="169" t="str">
        <f>IF(INT(MONTH($B$2))=3, "2"&amp;"Q"&amp;"-"&amp;YEAR($B$2)-1, IF(INT(MONTH($B$2))=6, "3"&amp;"Q"&amp;"-"&amp;YEAR($B$2)-1, IF(INT(MONTH($B$2))=9, "4"&amp;"Q"&amp;"-"&amp;YEAR($B$2)-1,IF(INT(MONTH($B$2))=12, "1"&amp;"Q"&amp;"-"&amp;YEAR($B$2), 0))))</f>
        <v>3Q-2022</v>
      </c>
      <c r="G5" s="169" t="str">
        <f>IF(INT(MONTH($B$2))=3, "1"&amp;"Q"&amp;"-"&amp;YEAR($B$2)-1, IF(INT(MONTH($B$2))=6, "2"&amp;"Q"&amp;"-"&amp;YEAR($B$2)-1, IF(INT(MONTH($B$2))=9, "3"&amp;"Q"&amp;"-"&amp;YEAR($B$2)-1,IF(INT(MONTH($B$2))=12, "4"&amp;"Q"&amp;"-"&amp;YEAR($B$2)-1, 0))))</f>
        <v>2Q-2022</v>
      </c>
    </row>
    <row r="6" spans="1:7" ht="15" customHeight="1" x14ac:dyDescent="0.2">
      <c r="A6" s="170">
        <v>1</v>
      </c>
      <c r="B6" s="171" t="s">
        <v>235</v>
      </c>
      <c r="C6" s="172">
        <f>C7+C9+C10</f>
        <v>61938851.293507352</v>
      </c>
      <c r="D6" s="172">
        <f>D7+D9+D10</f>
        <v>48673601.495233156</v>
      </c>
      <c r="E6" s="172">
        <f t="shared" ref="E6:G6" si="0">E7+E9+E10</f>
        <v>52131562.31952107</v>
      </c>
      <c r="F6" s="172">
        <f t="shared" si="0"/>
        <v>62935566.47438737</v>
      </c>
      <c r="G6" s="173">
        <f t="shared" si="0"/>
        <v>49870179.270165876</v>
      </c>
    </row>
    <row r="7" spans="1:7" ht="15" customHeight="1" x14ac:dyDescent="0.2">
      <c r="A7" s="170">
        <v>1.1000000000000001</v>
      </c>
      <c r="B7" s="174" t="s">
        <v>236</v>
      </c>
      <c r="C7" s="175">
        <v>60964339.293507352</v>
      </c>
      <c r="D7" s="175">
        <v>47707923.095233157</v>
      </c>
      <c r="E7" s="175">
        <v>50188501.127521068</v>
      </c>
      <c r="F7" s="175">
        <v>60204254.501187369</v>
      </c>
      <c r="G7" s="176">
        <v>48354890.270165876</v>
      </c>
    </row>
    <row r="8" spans="1:7" ht="25.5" x14ac:dyDescent="0.2">
      <c r="A8" s="170" t="s">
        <v>237</v>
      </c>
      <c r="B8" s="177" t="s">
        <v>238</v>
      </c>
      <c r="C8" s="175"/>
      <c r="D8" s="175"/>
      <c r="E8" s="175"/>
      <c r="F8" s="175"/>
      <c r="G8" s="176"/>
    </row>
    <row r="9" spans="1:7" ht="15" customHeight="1" x14ac:dyDescent="0.2">
      <c r="A9" s="170">
        <v>1.2</v>
      </c>
      <c r="B9" s="174" t="s">
        <v>239</v>
      </c>
      <c r="C9" s="175">
        <v>759877</v>
      </c>
      <c r="D9" s="175">
        <v>755104</v>
      </c>
      <c r="E9" s="175">
        <v>1675200</v>
      </c>
      <c r="F9" s="175">
        <v>2531820</v>
      </c>
      <c r="G9" s="176">
        <v>1318789</v>
      </c>
    </row>
    <row r="10" spans="1:7" ht="15" customHeight="1" x14ac:dyDescent="0.2">
      <c r="A10" s="170">
        <v>1.3</v>
      </c>
      <c r="B10" s="178" t="s">
        <v>28</v>
      </c>
      <c r="C10" s="175">
        <v>214635</v>
      </c>
      <c r="D10" s="175">
        <v>210574.4</v>
      </c>
      <c r="E10" s="175">
        <v>267861.19199999998</v>
      </c>
      <c r="F10" s="175">
        <v>199491.97320000001</v>
      </c>
      <c r="G10" s="176">
        <v>196500</v>
      </c>
    </row>
    <row r="11" spans="1:7" ht="15" customHeight="1" x14ac:dyDescent="0.2">
      <c r="A11" s="170">
        <v>2</v>
      </c>
      <c r="B11" s="171" t="s">
        <v>240</v>
      </c>
      <c r="C11" s="175">
        <v>229858.94887295188</v>
      </c>
      <c r="D11" s="175">
        <v>176313.25844009916</v>
      </c>
      <c r="E11" s="175">
        <v>558585.90173394338</v>
      </c>
      <c r="F11" s="175">
        <v>1836150.6559868075</v>
      </c>
      <c r="G11" s="176">
        <v>1404065.7360363398</v>
      </c>
    </row>
    <row r="12" spans="1:7" ht="15" customHeight="1" x14ac:dyDescent="0.2">
      <c r="A12" s="170">
        <v>3</v>
      </c>
      <c r="B12" s="171" t="s">
        <v>241</v>
      </c>
      <c r="C12" s="175">
        <v>8764146.5926030725</v>
      </c>
      <c r="D12" s="175">
        <v>8764146.5926030725</v>
      </c>
      <c r="E12" s="175">
        <v>8764146.5926030725</v>
      </c>
      <c r="F12" s="175">
        <v>10334658.68012852</v>
      </c>
      <c r="G12" s="176">
        <v>10334658.68012852</v>
      </c>
    </row>
    <row r="13" spans="1:7" ht="15" customHeight="1" thickBot="1" x14ac:dyDescent="0.25">
      <c r="A13" s="179">
        <v>4</v>
      </c>
      <c r="B13" s="180" t="s">
        <v>242</v>
      </c>
      <c r="C13" s="181">
        <f>C6+C11+C12</f>
        <v>70932856.834983379</v>
      </c>
      <c r="D13" s="181">
        <f>D6+D11+D12</f>
        <v>57614061.346276328</v>
      </c>
      <c r="E13" s="181">
        <f t="shared" ref="E13:G13" si="1">E6+E11+E12</f>
        <v>61454294.813858084</v>
      </c>
      <c r="F13" s="181">
        <f t="shared" si="1"/>
        <v>75106375.810502693</v>
      </c>
      <c r="G13" s="182">
        <f t="shared" si="1"/>
        <v>61608903.686330736</v>
      </c>
    </row>
    <row r="14" spans="1:7" x14ac:dyDescent="0.2">
      <c r="B14" s="93"/>
    </row>
    <row r="15" spans="1:7" ht="25.5" x14ac:dyDescent="0.2">
      <c r="B15" s="93" t="s">
        <v>243</v>
      </c>
    </row>
    <row r="16" spans="1:7" x14ac:dyDescent="0.2">
      <c r="B16" s="93"/>
    </row>
    <row r="17" spans="2:2" x14ac:dyDescent="0.2">
      <c r="B17" s="93"/>
    </row>
    <row r="18" spans="2:2" x14ac:dyDescent="0.2">
      <c r="B18" s="9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9C6C5-7464-474A-B5B0-313E414F9227}">
  <dimension ref="A1:C37"/>
  <sheetViews>
    <sheetView showGridLines="0" zoomScaleNormal="100" workbookViewId="0">
      <pane xSplit="1" ySplit="4" topLeftCell="B5" activePane="bottomRight" state="frozen"/>
      <selection activeCell="H50" sqref="H50"/>
      <selection pane="topRight" activeCell="H50" sqref="H50"/>
      <selection pane="bottomLeft" activeCell="H50" sqref="H50"/>
      <selection pane="bottomRight" activeCell="D15" sqref="D15"/>
    </sheetView>
  </sheetViews>
  <sheetFormatPr defaultRowHeight="15" x14ac:dyDescent="0.25"/>
  <cols>
    <col min="1" max="1" width="9.5703125" style="19" bestFit="1" customWidth="1"/>
    <col min="2" max="2" width="53.7109375" style="19" customWidth="1"/>
    <col min="3" max="3" width="36.140625" style="19" customWidth="1"/>
    <col min="4" max="4" width="31.7109375" bestFit="1" customWidth="1"/>
  </cols>
  <sheetData>
    <row r="1" spans="1:3" x14ac:dyDescent="0.25">
      <c r="A1" s="19" t="s">
        <v>41</v>
      </c>
      <c r="B1" s="19" t="str">
        <f>Info!C2</f>
        <v>სს სილქ ბანკი</v>
      </c>
    </row>
    <row r="2" spans="1:3" x14ac:dyDescent="0.25">
      <c r="A2" s="19" t="s">
        <v>42</v>
      </c>
      <c r="B2" s="23">
        <f>'1. key ratios'!B2</f>
        <v>45107</v>
      </c>
    </row>
    <row r="4" spans="1:3" ht="25.5" customHeight="1" thickBot="1" x14ac:dyDescent="0.35">
      <c r="A4" s="183" t="s">
        <v>244</v>
      </c>
      <c r="B4" s="737" t="s">
        <v>17</v>
      </c>
      <c r="C4" s="737"/>
    </row>
    <row r="5" spans="1:3" ht="15.75" x14ac:dyDescent="0.3">
      <c r="A5" s="184"/>
      <c r="B5" s="185" t="s">
        <v>245</v>
      </c>
      <c r="C5" s="149" t="s">
        <v>246</v>
      </c>
    </row>
    <row r="6" spans="1:3" x14ac:dyDescent="0.25">
      <c r="A6" s="186">
        <v>1</v>
      </c>
      <c r="B6" s="187" t="s">
        <v>247</v>
      </c>
      <c r="C6" s="188" t="s">
        <v>248</v>
      </c>
    </row>
    <row r="7" spans="1:3" x14ac:dyDescent="0.25">
      <c r="A7" s="186">
        <v>2</v>
      </c>
      <c r="B7" s="187" t="s">
        <v>249</v>
      </c>
      <c r="C7" s="188" t="s">
        <v>250</v>
      </c>
    </row>
    <row r="8" spans="1:3" x14ac:dyDescent="0.25">
      <c r="A8" s="186">
        <v>3</v>
      </c>
      <c r="B8" s="187" t="s">
        <v>251</v>
      </c>
      <c r="C8" s="188" t="s">
        <v>250</v>
      </c>
    </row>
    <row r="9" spans="1:3" x14ac:dyDescent="0.25">
      <c r="A9" s="186">
        <v>4</v>
      </c>
      <c r="B9" s="187" t="s">
        <v>252</v>
      </c>
      <c r="C9" s="188" t="s">
        <v>250</v>
      </c>
    </row>
    <row r="10" spans="1:3" x14ac:dyDescent="0.25">
      <c r="A10" s="186">
        <v>5</v>
      </c>
      <c r="B10" s="187" t="s">
        <v>253</v>
      </c>
      <c r="C10" s="188" t="s">
        <v>254</v>
      </c>
    </row>
    <row r="11" spans="1:3" x14ac:dyDescent="0.25">
      <c r="A11" s="186">
        <v>6</v>
      </c>
      <c r="B11" s="187" t="s">
        <v>255</v>
      </c>
      <c r="C11" s="188" t="s">
        <v>254</v>
      </c>
    </row>
    <row r="12" spans="1:3" x14ac:dyDescent="0.25">
      <c r="A12" s="186"/>
      <c r="B12" s="738"/>
      <c r="C12" s="739"/>
    </row>
    <row r="13" spans="1:3" ht="45" x14ac:dyDescent="0.25">
      <c r="A13" s="186"/>
      <c r="B13" s="189" t="s">
        <v>256</v>
      </c>
      <c r="C13" s="190" t="s">
        <v>257</v>
      </c>
    </row>
    <row r="14" spans="1:3" ht="15.75" x14ac:dyDescent="0.3">
      <c r="A14" s="186">
        <v>1</v>
      </c>
      <c r="B14" s="191" t="s">
        <v>258</v>
      </c>
      <c r="C14" s="192" t="s">
        <v>259</v>
      </c>
    </row>
    <row r="15" spans="1:3" ht="30" x14ac:dyDescent="0.3">
      <c r="A15" s="186">
        <v>2</v>
      </c>
      <c r="B15" s="193" t="s">
        <v>260</v>
      </c>
      <c r="C15" s="192" t="s">
        <v>261</v>
      </c>
    </row>
    <row r="16" spans="1:3" ht="15.75" x14ac:dyDescent="0.3">
      <c r="A16" s="186">
        <v>3</v>
      </c>
      <c r="B16" s="193" t="s">
        <v>262</v>
      </c>
      <c r="C16" s="192" t="s">
        <v>263</v>
      </c>
    </row>
    <row r="17" spans="1:3" ht="15.75" x14ac:dyDescent="0.3">
      <c r="A17" s="186">
        <v>4</v>
      </c>
      <c r="B17" s="191" t="s">
        <v>264</v>
      </c>
      <c r="C17" s="192" t="s">
        <v>265</v>
      </c>
    </row>
    <row r="18" spans="1:3" ht="15.75" x14ac:dyDescent="0.3">
      <c r="A18" s="186">
        <v>5</v>
      </c>
      <c r="B18" s="191" t="s">
        <v>266</v>
      </c>
      <c r="C18" s="192" t="s">
        <v>267</v>
      </c>
    </row>
    <row r="19" spans="1:3" ht="30" x14ac:dyDescent="0.3">
      <c r="A19" s="186">
        <v>6</v>
      </c>
      <c r="B19" s="191" t="s">
        <v>268</v>
      </c>
      <c r="C19" s="192" t="s">
        <v>269</v>
      </c>
    </row>
    <row r="20" spans="1:3" ht="15.75" x14ac:dyDescent="0.3">
      <c r="A20" s="186">
        <v>7</v>
      </c>
      <c r="B20" s="191" t="s">
        <v>270</v>
      </c>
      <c r="C20" s="192" t="s">
        <v>271</v>
      </c>
    </row>
    <row r="21" spans="1:3" ht="15.75" x14ac:dyDescent="0.3">
      <c r="A21" s="186">
        <v>8</v>
      </c>
      <c r="B21" s="191" t="s">
        <v>272</v>
      </c>
      <c r="C21" s="192" t="s">
        <v>273</v>
      </c>
    </row>
    <row r="22" spans="1:3" ht="30" x14ac:dyDescent="0.3">
      <c r="A22" s="835">
        <v>9</v>
      </c>
      <c r="B22" s="193" t="s">
        <v>274</v>
      </c>
      <c r="C22" s="192" t="s">
        <v>275</v>
      </c>
    </row>
    <row r="23" spans="1:3" ht="15.75" customHeight="1" x14ac:dyDescent="0.3">
      <c r="A23" s="186"/>
      <c r="B23" s="191"/>
      <c r="C23" s="194"/>
    </row>
    <row r="24" spans="1:3" ht="30" customHeight="1" x14ac:dyDescent="0.25">
      <c r="A24" s="186"/>
      <c r="B24" s="740" t="s">
        <v>276</v>
      </c>
      <c r="C24" s="741"/>
    </row>
    <row r="25" spans="1:3" ht="15" customHeight="1" x14ac:dyDescent="0.25">
      <c r="A25" s="186">
        <v>1</v>
      </c>
      <c r="B25" s="187" t="s">
        <v>277</v>
      </c>
      <c r="C25" s="195">
        <v>0.59997710000000004</v>
      </c>
    </row>
    <row r="26" spans="1:3" x14ac:dyDescent="0.25">
      <c r="A26" s="186">
        <v>2</v>
      </c>
      <c r="B26" s="187" t="s">
        <v>278</v>
      </c>
      <c r="C26" s="195">
        <v>0.37136829999999998</v>
      </c>
    </row>
    <row r="27" spans="1:3" x14ac:dyDescent="0.25">
      <c r="A27" s="186">
        <v>3</v>
      </c>
      <c r="B27" s="187" t="s">
        <v>279</v>
      </c>
      <c r="C27" s="195">
        <v>2.8595800000000001E-2</v>
      </c>
    </row>
    <row r="28" spans="1:3" ht="15.75" customHeight="1" x14ac:dyDescent="0.25">
      <c r="A28" s="186"/>
      <c r="B28" s="187"/>
      <c r="C28" s="196"/>
    </row>
    <row r="29" spans="1:3" ht="29.25" customHeight="1" x14ac:dyDescent="0.25">
      <c r="A29" s="186"/>
      <c r="B29" s="740" t="s">
        <v>280</v>
      </c>
      <c r="C29" s="741"/>
    </row>
    <row r="30" spans="1:3" ht="15" customHeight="1" x14ac:dyDescent="0.25">
      <c r="A30" s="186">
        <v>1</v>
      </c>
      <c r="B30" s="187" t="s">
        <v>277</v>
      </c>
      <c r="C30" s="197">
        <v>0.59997710000000004</v>
      </c>
    </row>
    <row r="31" spans="1:3" x14ac:dyDescent="0.25">
      <c r="A31" s="198">
        <v>1.1000000000000001</v>
      </c>
      <c r="B31" s="199" t="s">
        <v>281</v>
      </c>
      <c r="C31" s="200">
        <v>0.372</v>
      </c>
    </row>
    <row r="32" spans="1:3" x14ac:dyDescent="0.25">
      <c r="A32" s="198">
        <v>1.2</v>
      </c>
      <c r="B32" s="199" t="s">
        <v>282</v>
      </c>
      <c r="C32" s="200">
        <v>0.17100000000000001</v>
      </c>
    </row>
    <row r="33" spans="1:3" x14ac:dyDescent="0.25">
      <c r="A33" s="198">
        <v>1.3</v>
      </c>
      <c r="B33" s="199" t="s">
        <v>283</v>
      </c>
      <c r="C33" s="200">
        <v>5.7000000000000002E-2</v>
      </c>
    </row>
    <row r="34" spans="1:3" x14ac:dyDescent="0.25">
      <c r="A34" s="198">
        <v>2</v>
      </c>
      <c r="B34" s="199" t="s">
        <v>278</v>
      </c>
      <c r="C34" s="200">
        <v>0.37136829999999998</v>
      </c>
    </row>
    <row r="35" spans="1:3" ht="27" x14ac:dyDescent="0.25">
      <c r="A35" s="198">
        <v>2.1</v>
      </c>
      <c r="B35" s="199" t="s">
        <v>284</v>
      </c>
      <c r="C35" s="200">
        <v>0.37140000000000001</v>
      </c>
    </row>
    <row r="36" spans="1:3" x14ac:dyDescent="0.25">
      <c r="A36" s="201" t="s">
        <v>285</v>
      </c>
      <c r="B36" s="199" t="s">
        <v>286</v>
      </c>
      <c r="C36" s="200">
        <v>0.37140000000000001</v>
      </c>
    </row>
    <row r="37" spans="1:3" ht="16.5" thickBot="1" x14ac:dyDescent="0.35">
      <c r="A37" s="202"/>
      <c r="B37" s="203"/>
      <c r="C37" s="204"/>
    </row>
  </sheetData>
  <mergeCells count="4">
    <mergeCell ref="B4:C4"/>
    <mergeCell ref="B12:C12"/>
    <mergeCell ref="B24:C24"/>
    <mergeCell ref="B29:C29"/>
  </mergeCells>
  <dataValidations count="1">
    <dataValidation type="list" allowBlank="1" showInputMessage="1" showErrorMessage="1" sqref="C6:C11" xr:uid="{BA32B820-334A-400A-BB05-91DA6E8A92E0}">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B7E2D-6189-494E-916B-FD341B11F60A}">
  <dimension ref="A1:G46"/>
  <sheetViews>
    <sheetView zoomScale="115" zoomScaleNormal="115" workbookViewId="0">
      <pane xSplit="1" ySplit="5" topLeftCell="B23" activePane="bottomRight" state="frozen"/>
      <selection activeCell="H50" sqref="H50"/>
      <selection pane="topRight" activeCell="H50" sqref="H50"/>
      <selection pane="bottomLeft" activeCell="H50" sqref="H50"/>
      <selection pane="bottomRight" activeCell="E37" sqref="E37"/>
    </sheetView>
  </sheetViews>
  <sheetFormatPr defaultRowHeight="15" x14ac:dyDescent="0.25"/>
  <cols>
    <col min="1" max="1" width="9.5703125" style="19" bestFit="1" customWidth="1"/>
    <col min="2" max="2" width="47.5703125" style="19" customWidth="1"/>
    <col min="3" max="3" width="28" style="19" customWidth="1"/>
    <col min="4" max="4" width="25.5703125" style="19" customWidth="1"/>
    <col min="5" max="5" width="18.85546875" style="19" customWidth="1"/>
    <col min="6" max="6" width="12" style="205" bestFit="1" customWidth="1"/>
    <col min="7" max="7" width="12.5703125" bestFit="1" customWidth="1"/>
  </cols>
  <sheetData>
    <row r="1" spans="1:6" ht="15.75" x14ac:dyDescent="0.3">
      <c r="A1" s="20" t="s">
        <v>41</v>
      </c>
      <c r="B1" s="22" t="str">
        <f>Info!C2</f>
        <v>სს სილქ ბანკი</v>
      </c>
    </row>
    <row r="2" spans="1:6" s="20" customFormat="1" ht="15.75" customHeight="1" x14ac:dyDescent="0.3">
      <c r="A2" s="20" t="s">
        <v>42</v>
      </c>
      <c r="B2" s="23">
        <f>'1. key ratios'!B2</f>
        <v>45107</v>
      </c>
      <c r="F2" s="206"/>
    </row>
    <row r="3" spans="1:6" s="20" customFormat="1" ht="15.75" customHeight="1" x14ac:dyDescent="0.3">
      <c r="F3" s="206"/>
    </row>
    <row r="4" spans="1:6" s="20" customFormat="1" ht="15.75" customHeight="1" thickBot="1" x14ac:dyDescent="0.35">
      <c r="A4" s="207" t="s">
        <v>287</v>
      </c>
      <c r="B4" s="208" t="s">
        <v>18</v>
      </c>
      <c r="C4" s="209"/>
      <c r="D4" s="209"/>
      <c r="E4" s="210" t="s">
        <v>234</v>
      </c>
      <c r="F4" s="206"/>
    </row>
    <row r="5" spans="1:6" s="216" customFormat="1" ht="17.45" customHeight="1" x14ac:dyDescent="0.25">
      <c r="A5" s="211"/>
      <c r="B5" s="212"/>
      <c r="C5" s="213" t="s">
        <v>288</v>
      </c>
      <c r="D5" s="213" t="s">
        <v>289</v>
      </c>
      <c r="E5" s="214" t="s">
        <v>290</v>
      </c>
      <c r="F5" s="215"/>
    </row>
    <row r="6" spans="1:6" ht="14.45" customHeight="1" x14ac:dyDescent="0.25">
      <c r="A6" s="217"/>
      <c r="B6" s="742" t="s">
        <v>291</v>
      </c>
      <c r="C6" s="742" t="s">
        <v>292</v>
      </c>
      <c r="D6" s="743" t="s">
        <v>293</v>
      </c>
      <c r="E6" s="744"/>
    </row>
    <row r="7" spans="1:6" ht="99.6" customHeight="1" x14ac:dyDescent="0.25">
      <c r="A7" s="217"/>
      <c r="B7" s="742"/>
      <c r="C7" s="742"/>
      <c r="D7" s="219" t="s">
        <v>294</v>
      </c>
      <c r="E7" s="220" t="s">
        <v>295</v>
      </c>
    </row>
    <row r="8" spans="1:6" ht="22.5" customHeight="1" x14ac:dyDescent="0.25">
      <c r="A8" s="97">
        <v>1</v>
      </c>
      <c r="B8" s="101" t="s">
        <v>94</v>
      </c>
      <c r="C8" s="221">
        <f>SUM(C9:C11)</f>
        <v>69824906.449999973</v>
      </c>
      <c r="D8" s="221">
        <f t="shared" ref="D8:E8" si="0">SUM(D9:D11)</f>
        <v>0</v>
      </c>
      <c r="E8" s="221">
        <f t="shared" si="0"/>
        <v>69824906.449999973</v>
      </c>
      <c r="F8" s="222"/>
    </row>
    <row r="9" spans="1:6" x14ac:dyDescent="0.25">
      <c r="A9" s="97">
        <v>1.1000000000000001</v>
      </c>
      <c r="B9" s="104" t="s">
        <v>95</v>
      </c>
      <c r="C9" s="221">
        <f>'2. SOFP'!E8</f>
        <v>2218674.4000000013</v>
      </c>
      <c r="D9" s="221"/>
      <c r="E9" s="221">
        <f>C9-D9</f>
        <v>2218674.4000000013</v>
      </c>
    </row>
    <row r="10" spans="1:6" x14ac:dyDescent="0.25">
      <c r="A10" s="97">
        <v>1.2</v>
      </c>
      <c r="B10" s="104" t="s">
        <v>96</v>
      </c>
      <c r="C10" s="221">
        <f>'2. SOFP'!E9</f>
        <v>6596971.8899999708</v>
      </c>
      <c r="D10" s="221"/>
      <c r="E10" s="221">
        <f t="shared" ref="E10:E15" si="1">C10-D10</f>
        <v>6596971.8899999708</v>
      </c>
    </row>
    <row r="11" spans="1:6" x14ac:dyDescent="0.25">
      <c r="A11" s="97">
        <v>1.3</v>
      </c>
      <c r="B11" s="104" t="s">
        <v>97</v>
      </c>
      <c r="C11" s="221">
        <f>'2. SOFP'!E10</f>
        <v>61009260.160000004</v>
      </c>
      <c r="D11" s="221"/>
      <c r="E11" s="221">
        <f t="shared" si="1"/>
        <v>61009260.160000004</v>
      </c>
    </row>
    <row r="12" spans="1:6" x14ac:dyDescent="0.25">
      <c r="A12" s="97">
        <v>2</v>
      </c>
      <c r="B12" s="106" t="s">
        <v>98</v>
      </c>
      <c r="C12" s="221">
        <f>'2. SOFP'!E11</f>
        <v>13720</v>
      </c>
      <c r="D12" s="221"/>
      <c r="E12" s="221">
        <f t="shared" si="1"/>
        <v>13720</v>
      </c>
      <c r="F12" s="222"/>
    </row>
    <row r="13" spans="1:6" ht="21" x14ac:dyDescent="0.25">
      <c r="A13" s="97">
        <v>2.1</v>
      </c>
      <c r="B13" s="107" t="s">
        <v>99</v>
      </c>
      <c r="C13" s="221">
        <f>'2. SOFP'!E12</f>
        <v>13720</v>
      </c>
      <c r="D13" s="221"/>
      <c r="E13" s="221">
        <f t="shared" si="1"/>
        <v>13720</v>
      </c>
    </row>
    <row r="14" spans="1:6" ht="33.950000000000003" customHeight="1" x14ac:dyDescent="0.25">
      <c r="A14" s="97">
        <v>3</v>
      </c>
      <c r="B14" s="108" t="s">
        <v>100</v>
      </c>
      <c r="C14" s="221">
        <f>'2. SOFP'!E13</f>
        <v>0</v>
      </c>
      <c r="D14" s="221"/>
      <c r="E14" s="221">
        <f t="shared" si="1"/>
        <v>0</v>
      </c>
    </row>
    <row r="15" spans="1:6" ht="32.450000000000003" customHeight="1" x14ac:dyDescent="0.25">
      <c r="A15" s="97">
        <v>4</v>
      </c>
      <c r="B15" s="109" t="s">
        <v>101</v>
      </c>
      <c r="C15" s="221">
        <f>'2. SOFP'!E14</f>
        <v>0</v>
      </c>
      <c r="D15" s="221"/>
      <c r="E15" s="221">
        <f t="shared" si="1"/>
        <v>0</v>
      </c>
    </row>
    <row r="16" spans="1:6" ht="23.1" customHeight="1" x14ac:dyDescent="0.25">
      <c r="A16" s="97">
        <v>5</v>
      </c>
      <c r="B16" s="109" t="s">
        <v>102</v>
      </c>
      <c r="C16" s="221">
        <f>SUM(C17:C19)</f>
        <v>20000</v>
      </c>
      <c r="D16" s="221">
        <f t="shared" ref="D16:E16" si="2">SUM(D17:D19)</f>
        <v>0</v>
      </c>
      <c r="E16" s="221">
        <f t="shared" si="2"/>
        <v>20000</v>
      </c>
      <c r="F16" s="222"/>
    </row>
    <row r="17" spans="1:6" x14ac:dyDescent="0.25">
      <c r="A17" s="97">
        <v>5.0999999999999996</v>
      </c>
      <c r="B17" s="112" t="s">
        <v>103</v>
      </c>
      <c r="C17" s="221">
        <f>'2. SOFP'!E16</f>
        <v>20000</v>
      </c>
      <c r="D17" s="221"/>
      <c r="E17" s="221">
        <f>C17-D17</f>
        <v>20000</v>
      </c>
    </row>
    <row r="18" spans="1:6" x14ac:dyDescent="0.25">
      <c r="A18" s="97">
        <v>5.2</v>
      </c>
      <c r="B18" s="112" t="s">
        <v>104</v>
      </c>
      <c r="C18" s="221">
        <f>'2. SOFP'!E17</f>
        <v>0</v>
      </c>
      <c r="D18" s="221"/>
      <c r="E18" s="221">
        <f t="shared" ref="E18:E19" si="3">C18-D18</f>
        <v>0</v>
      </c>
    </row>
    <row r="19" spans="1:6" x14ac:dyDescent="0.25">
      <c r="A19" s="97">
        <v>5.3</v>
      </c>
      <c r="B19" s="112" t="s">
        <v>105</v>
      </c>
      <c r="C19" s="221">
        <f>'2. SOFP'!E18</f>
        <v>0</v>
      </c>
      <c r="D19" s="221"/>
      <c r="E19" s="221">
        <f t="shared" si="3"/>
        <v>0</v>
      </c>
    </row>
    <row r="20" spans="1:6" ht="21" x14ac:dyDescent="0.25">
      <c r="A20" s="97">
        <v>6</v>
      </c>
      <c r="B20" s="108" t="s">
        <v>106</v>
      </c>
      <c r="C20" s="221">
        <f>SUM(C21:C22)</f>
        <v>46173648.868657827</v>
      </c>
      <c r="D20" s="221">
        <f t="shared" ref="D20:E20" si="4">SUM(D21:D22)</f>
        <v>0</v>
      </c>
      <c r="E20" s="221">
        <f t="shared" si="4"/>
        <v>46173648.868657827</v>
      </c>
      <c r="F20" s="222"/>
    </row>
    <row r="21" spans="1:6" x14ac:dyDescent="0.25">
      <c r="A21" s="97">
        <v>6.1</v>
      </c>
      <c r="B21" s="112" t="s">
        <v>104</v>
      </c>
      <c r="C21" s="223">
        <f>'2. SOFP'!E20</f>
        <v>25010350.438634034</v>
      </c>
      <c r="D21" s="223"/>
      <c r="E21" s="223">
        <f>C21-D21</f>
        <v>25010350.438634034</v>
      </c>
    </row>
    <row r="22" spans="1:6" x14ac:dyDescent="0.25">
      <c r="A22" s="97">
        <v>6.2</v>
      </c>
      <c r="B22" s="112" t="s">
        <v>105</v>
      </c>
      <c r="C22" s="223">
        <f>'2. SOFP'!E21</f>
        <v>21163298.430023793</v>
      </c>
      <c r="D22" s="223"/>
      <c r="E22" s="223">
        <f t="shared" ref="E22:E24" si="5">C22-D22</f>
        <v>21163298.430023793</v>
      </c>
    </row>
    <row r="23" spans="1:6" ht="21" x14ac:dyDescent="0.25">
      <c r="A23" s="97">
        <v>7</v>
      </c>
      <c r="B23" s="113" t="s">
        <v>107</v>
      </c>
      <c r="C23" s="223">
        <f>'2. SOFP'!E22</f>
        <v>0</v>
      </c>
      <c r="D23" s="223"/>
      <c r="E23" s="223">
        <f t="shared" si="5"/>
        <v>0</v>
      </c>
    </row>
    <row r="24" spans="1:6" ht="21" x14ac:dyDescent="0.25">
      <c r="A24" s="97">
        <v>8</v>
      </c>
      <c r="B24" s="114" t="s">
        <v>108</v>
      </c>
      <c r="C24" s="223">
        <f>'2. SOFP'!E23</f>
        <v>3389411.9415073614</v>
      </c>
      <c r="D24" s="223"/>
      <c r="E24" s="223">
        <f t="shared" si="5"/>
        <v>3389411.9415073614</v>
      </c>
      <c r="F24" s="222"/>
    </row>
    <row r="25" spans="1:6" x14ac:dyDescent="0.25">
      <c r="A25" s="97">
        <v>9</v>
      </c>
      <c r="B25" s="109" t="s">
        <v>109</v>
      </c>
      <c r="C25" s="223">
        <f>SUM(C26:C27)</f>
        <v>19081042.57</v>
      </c>
      <c r="D25" s="223">
        <f t="shared" ref="D25:E25" si="6">SUM(D26:D27)</f>
        <v>0</v>
      </c>
      <c r="E25" s="223">
        <f t="shared" si="6"/>
        <v>19081042.57</v>
      </c>
      <c r="F25" s="222"/>
    </row>
    <row r="26" spans="1:6" x14ac:dyDescent="0.25">
      <c r="A26" s="97">
        <v>9.1</v>
      </c>
      <c r="B26" s="115" t="s">
        <v>110</v>
      </c>
      <c r="C26" s="223">
        <f>'2. SOFP'!E25</f>
        <v>19081042.57</v>
      </c>
      <c r="D26" s="223"/>
      <c r="E26" s="223">
        <f>C26-D26</f>
        <v>19081042.57</v>
      </c>
    </row>
    <row r="27" spans="1:6" x14ac:dyDescent="0.25">
      <c r="A27" s="97">
        <v>9.1999999999999993</v>
      </c>
      <c r="B27" s="115" t="s">
        <v>111</v>
      </c>
      <c r="C27" s="223">
        <f>'2. SOFP'!E26</f>
        <v>0</v>
      </c>
      <c r="D27" s="223"/>
      <c r="E27" s="223">
        <f>C27-D27</f>
        <v>0</v>
      </c>
    </row>
    <row r="28" spans="1:6" x14ac:dyDescent="0.25">
      <c r="A28" s="97">
        <v>10</v>
      </c>
      <c r="B28" s="109" t="s">
        <v>112</v>
      </c>
      <c r="C28" s="223">
        <f>SUM(C29:C30)</f>
        <v>795839.35999999987</v>
      </c>
      <c r="D28" s="223">
        <f t="shared" ref="D28:E28" si="7">SUM(D29:D30)</f>
        <v>795839.35999999987</v>
      </c>
      <c r="E28" s="223">
        <f t="shared" si="7"/>
        <v>0</v>
      </c>
      <c r="F28" s="222"/>
    </row>
    <row r="29" spans="1:6" x14ac:dyDescent="0.25">
      <c r="A29" s="97">
        <v>10.1</v>
      </c>
      <c r="B29" s="115" t="s">
        <v>113</v>
      </c>
      <c r="C29" s="223">
        <f>'2. SOFP'!E28</f>
        <v>0</v>
      </c>
      <c r="D29" s="223"/>
      <c r="E29" s="223">
        <f>C29-D29</f>
        <v>0</v>
      </c>
    </row>
    <row r="30" spans="1:6" x14ac:dyDescent="0.25">
      <c r="A30" s="97">
        <v>10.199999999999999</v>
      </c>
      <c r="B30" s="115" t="s">
        <v>114</v>
      </c>
      <c r="C30" s="223">
        <f>'2. SOFP'!E29</f>
        <v>795839.35999999987</v>
      </c>
      <c r="D30" s="223">
        <f>C30</f>
        <v>795839.35999999987</v>
      </c>
      <c r="E30" s="223">
        <f>C30-D30</f>
        <v>0</v>
      </c>
    </row>
    <row r="31" spans="1:6" x14ac:dyDescent="0.25">
      <c r="A31" s="97">
        <v>11</v>
      </c>
      <c r="B31" s="109" t="s">
        <v>115</v>
      </c>
      <c r="C31" s="223">
        <f>SUM(C32:C33)</f>
        <v>45248.5</v>
      </c>
      <c r="D31" s="223">
        <f t="shared" ref="D31:E31" si="8">SUM(D32:D33)</f>
        <v>0</v>
      </c>
      <c r="E31" s="223">
        <f t="shared" si="8"/>
        <v>45248.5</v>
      </c>
      <c r="F31" s="222"/>
    </row>
    <row r="32" spans="1:6" x14ac:dyDescent="0.25">
      <c r="A32" s="97">
        <v>11.1</v>
      </c>
      <c r="B32" s="115" t="s">
        <v>116</v>
      </c>
      <c r="C32" s="223">
        <f>'2. SOFP'!E31</f>
        <v>45248.5</v>
      </c>
      <c r="D32" s="223"/>
      <c r="E32" s="223">
        <f>C32-D32</f>
        <v>45248.5</v>
      </c>
    </row>
    <row r="33" spans="1:7" x14ac:dyDescent="0.25">
      <c r="A33" s="97">
        <v>11.2</v>
      </c>
      <c r="B33" s="115" t="s">
        <v>117</v>
      </c>
      <c r="C33" s="223">
        <f>'2. SOFP'!E32</f>
        <v>0</v>
      </c>
      <c r="D33" s="223"/>
      <c r="E33" s="223">
        <f t="shared" ref="E33:E36" si="9">C33-D33</f>
        <v>0</v>
      </c>
    </row>
    <row r="34" spans="1:7" x14ac:dyDescent="0.25">
      <c r="A34" s="97">
        <v>13</v>
      </c>
      <c r="B34" s="109" t="s">
        <v>118</v>
      </c>
      <c r="C34" s="223">
        <f>'2. SOFP'!E33</f>
        <v>1725848.46</v>
      </c>
      <c r="D34" s="223"/>
      <c r="E34" s="223">
        <f t="shared" si="9"/>
        <v>1725848.46</v>
      </c>
      <c r="F34" s="222"/>
    </row>
    <row r="35" spans="1:7" x14ac:dyDescent="0.25">
      <c r="A35" s="97">
        <v>13.1</v>
      </c>
      <c r="B35" s="116" t="s">
        <v>119</v>
      </c>
      <c r="C35" s="223">
        <f>'2. SOFP'!E34</f>
        <v>0</v>
      </c>
      <c r="D35" s="223"/>
      <c r="E35" s="223">
        <f t="shared" si="9"/>
        <v>0</v>
      </c>
    </row>
    <row r="36" spans="1:7" x14ac:dyDescent="0.25">
      <c r="A36" s="97">
        <v>13.2</v>
      </c>
      <c r="B36" s="116" t="s">
        <v>120</v>
      </c>
      <c r="C36" s="223">
        <f>'2. SOFP'!E35</f>
        <v>0</v>
      </c>
      <c r="D36" s="223"/>
      <c r="E36" s="223">
        <f t="shared" si="9"/>
        <v>0</v>
      </c>
    </row>
    <row r="37" spans="1:7" ht="39" thickBot="1" x14ac:dyDescent="0.3">
      <c r="A37" s="224"/>
      <c r="B37" s="225" t="s">
        <v>296</v>
      </c>
      <c r="C37" s="226">
        <f>SUM(C8,C12,C14,C15,C16,C20,C23,C24,C25,C28,C31,C34)</f>
        <v>141069666.15016517</v>
      </c>
      <c r="D37" s="226">
        <f t="shared" ref="D37:E37" si="10">SUM(D8,D12,D14,D15,D16,D20,D23,D24,D25,D28,D31,D34)</f>
        <v>795839.35999999987</v>
      </c>
      <c r="E37" s="226">
        <f t="shared" si="10"/>
        <v>140273826.79016516</v>
      </c>
    </row>
    <row r="38" spans="1:7" x14ac:dyDescent="0.25">
      <c r="A38"/>
      <c r="B38"/>
      <c r="C38" s="832"/>
      <c r="D38"/>
      <c r="E38"/>
    </row>
    <row r="39" spans="1:7" s="19" customFormat="1" x14ac:dyDescent="0.25">
      <c r="B39" s="227"/>
      <c r="F39" s="205"/>
      <c r="G39"/>
    </row>
    <row r="40" spans="1:7" s="19" customFormat="1" x14ac:dyDescent="0.25">
      <c r="B40" s="227"/>
      <c r="F40" s="205"/>
      <c r="G40"/>
    </row>
    <row r="41" spans="1:7" s="19" customFormat="1" x14ac:dyDescent="0.25">
      <c r="B41" s="228"/>
      <c r="F41" s="205"/>
      <c r="G41"/>
    </row>
    <row r="42" spans="1:7" s="19" customFormat="1" x14ac:dyDescent="0.25">
      <c r="B42" s="228"/>
      <c r="F42" s="205"/>
      <c r="G42"/>
    </row>
    <row r="43" spans="1:7" s="19" customFormat="1" x14ac:dyDescent="0.25">
      <c r="B43" s="228"/>
      <c r="F43" s="205"/>
      <c r="G43"/>
    </row>
    <row r="44" spans="1:7" s="19" customFormat="1" x14ac:dyDescent="0.25">
      <c r="B44" s="228"/>
      <c r="F44" s="205"/>
      <c r="G44"/>
    </row>
    <row r="45" spans="1:7" s="19" customFormat="1" x14ac:dyDescent="0.25">
      <c r="B45" s="228"/>
      <c r="F45" s="205"/>
      <c r="G45"/>
    </row>
    <row r="46" spans="1:7" s="19" customFormat="1" x14ac:dyDescent="0.25">
      <c r="B46" s="228"/>
      <c r="F46" s="205"/>
      <c r="G46"/>
    </row>
  </sheetData>
  <mergeCells count="3">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2C9C5-5E39-4A6B-9456-EF6614204033}">
  <dimension ref="A1:I33"/>
  <sheetViews>
    <sheetView zoomScaleNormal="100" workbookViewId="0">
      <pane xSplit="1" ySplit="4" topLeftCell="B5" activePane="bottomRight" state="frozen"/>
      <selection activeCell="H50" sqref="H50"/>
      <selection pane="topRight" activeCell="H50" sqref="H50"/>
      <selection pane="bottomLeft" activeCell="H50" sqref="H50"/>
      <selection pane="bottomRight" activeCell="C13" sqref="C13"/>
    </sheetView>
  </sheetViews>
  <sheetFormatPr defaultRowHeight="15" outlineLevelRow="1" x14ac:dyDescent="0.25"/>
  <cols>
    <col min="1" max="1" width="9.5703125" style="19" bestFit="1" customWidth="1"/>
    <col min="2" max="2" width="114.28515625" style="19" customWidth="1"/>
    <col min="3" max="3" width="18.85546875" customWidth="1"/>
    <col min="4" max="4" width="25.42578125" style="205" customWidth="1"/>
    <col min="5" max="5" width="24.28515625" style="205" customWidth="1"/>
    <col min="6" max="6" width="24" customWidth="1"/>
    <col min="7" max="7" width="10" bestFit="1" customWidth="1"/>
    <col min="8" max="8" width="12" bestFit="1" customWidth="1"/>
    <col min="9" max="9" width="12.5703125" bestFit="1" customWidth="1"/>
  </cols>
  <sheetData>
    <row r="1" spans="1:6" ht="15.75" x14ac:dyDescent="0.3">
      <c r="A1" s="20" t="s">
        <v>41</v>
      </c>
      <c r="B1" s="22" t="str">
        <f>Info!C2</f>
        <v>სს სილქ ბანკი</v>
      </c>
    </row>
    <row r="2" spans="1:6" s="20" customFormat="1" ht="15.75" customHeight="1" x14ac:dyDescent="0.3">
      <c r="A2" s="20" t="s">
        <v>42</v>
      </c>
      <c r="B2" s="23">
        <f>'1. key ratios'!B2</f>
        <v>45107</v>
      </c>
      <c r="C2"/>
      <c r="D2" s="205"/>
      <c r="E2" s="205"/>
      <c r="F2"/>
    </row>
    <row r="3" spans="1:6" s="20" customFormat="1" ht="15.75" customHeight="1" x14ac:dyDescent="0.3">
      <c r="C3"/>
      <c r="D3" s="205"/>
      <c r="E3" s="205"/>
      <c r="F3"/>
    </row>
    <row r="4" spans="1:6" s="20" customFormat="1" ht="26.25" thickBot="1" x14ac:dyDescent="0.35">
      <c r="A4" s="20" t="s">
        <v>297</v>
      </c>
      <c r="B4" s="229" t="s">
        <v>19</v>
      </c>
      <c r="C4" s="210" t="s">
        <v>234</v>
      </c>
      <c r="D4" s="205"/>
      <c r="E4" s="205"/>
      <c r="F4"/>
    </row>
    <row r="5" spans="1:6" x14ac:dyDescent="0.25">
      <c r="A5" s="230">
        <v>1</v>
      </c>
      <c r="B5" s="231" t="s">
        <v>298</v>
      </c>
      <c r="C5" s="232">
        <f>'7. LI1'!E37</f>
        <v>140273826.79016516</v>
      </c>
      <c r="D5" s="642"/>
      <c r="E5" s="642"/>
    </row>
    <row r="6" spans="1:6" x14ac:dyDescent="0.25">
      <c r="A6" s="233">
        <v>2.1</v>
      </c>
      <c r="B6" s="234" t="s">
        <v>299</v>
      </c>
      <c r="C6" s="235">
        <v>2990649.418394377</v>
      </c>
      <c r="D6" s="642"/>
      <c r="E6" s="642"/>
    </row>
    <row r="7" spans="1:6" s="239" customFormat="1" ht="25.5" outlineLevel="1" x14ac:dyDescent="0.25">
      <c r="A7" s="236">
        <v>2.2000000000000002</v>
      </c>
      <c r="B7" s="237" t="s">
        <v>300</v>
      </c>
      <c r="C7" s="238">
        <f>'4. Off-balance'!E32+'4. Off-balance'!E31</f>
        <v>10731750</v>
      </c>
      <c r="D7" s="643"/>
      <c r="E7" s="643"/>
    </row>
    <row r="8" spans="1:6" s="239" customFormat="1" ht="26.25" x14ac:dyDescent="0.25">
      <c r="A8" s="236">
        <v>3</v>
      </c>
      <c r="B8" s="240" t="s">
        <v>301</v>
      </c>
      <c r="C8" s="241">
        <f>SUM(C5:C7)</f>
        <v>153996226.20855954</v>
      </c>
      <c r="D8" s="643"/>
      <c r="E8" s="643"/>
    </row>
    <row r="9" spans="1:6" x14ac:dyDescent="0.25">
      <c r="A9" s="233">
        <v>4</v>
      </c>
      <c r="B9" s="242" t="s">
        <v>302</v>
      </c>
      <c r="C9" s="235">
        <v>0</v>
      </c>
      <c r="D9" s="642"/>
      <c r="E9" s="642"/>
    </row>
    <row r="10" spans="1:6" s="239" customFormat="1" ht="25.5" outlineLevel="1" x14ac:dyDescent="0.25">
      <c r="A10" s="236">
        <v>5.0999999999999996</v>
      </c>
      <c r="B10" s="237" t="s">
        <v>303</v>
      </c>
      <c r="C10" s="238">
        <f>-C6+'5. RWA'!C9</f>
        <v>-2230772.418394377</v>
      </c>
      <c r="D10" s="643"/>
      <c r="E10" s="643"/>
    </row>
    <row r="11" spans="1:6" s="239" customFormat="1" ht="25.5" outlineLevel="1" x14ac:dyDescent="0.25">
      <c r="A11" s="236">
        <v>5.2</v>
      </c>
      <c r="B11" s="237" t="s">
        <v>304</v>
      </c>
      <c r="C11" s="238">
        <f>-C7+'5. RWA'!C10</f>
        <v>-10517115</v>
      </c>
      <c r="D11" s="643"/>
      <c r="E11" s="643"/>
    </row>
    <row r="12" spans="1:6" s="239" customFormat="1" x14ac:dyDescent="0.25">
      <c r="A12" s="236">
        <v>6</v>
      </c>
      <c r="B12" s="243" t="s">
        <v>305</v>
      </c>
      <c r="C12" s="238"/>
      <c r="D12" s="643"/>
      <c r="E12" s="643"/>
    </row>
    <row r="13" spans="1:6" s="239" customFormat="1" ht="15.75" thickBot="1" x14ac:dyDescent="0.3">
      <c r="A13" s="244">
        <v>7</v>
      </c>
      <c r="B13" s="245" t="s">
        <v>306</v>
      </c>
      <c r="C13" s="246">
        <f>SUM(C8:C12)</f>
        <v>141248338.79016516</v>
      </c>
      <c r="D13" s="643"/>
      <c r="E13" s="643"/>
    </row>
    <row r="15" spans="1:6" ht="26.25" x14ac:dyDescent="0.25">
      <c r="B15" s="93" t="s">
        <v>307</v>
      </c>
      <c r="C15" s="247"/>
    </row>
    <row r="17" spans="2:9" s="19" customFormat="1" x14ac:dyDescent="0.25">
      <c r="B17" s="248"/>
      <c r="C17"/>
      <c r="D17" s="205"/>
      <c r="E17" s="205"/>
      <c r="F17"/>
      <c r="G17"/>
      <c r="H17"/>
      <c r="I17"/>
    </row>
    <row r="18" spans="2:9" s="19" customFormat="1" x14ac:dyDescent="0.25">
      <c r="B18" s="249"/>
      <c r="C18"/>
      <c r="D18" s="205"/>
      <c r="E18" s="205"/>
      <c r="F18"/>
      <c r="G18"/>
      <c r="H18"/>
      <c r="I18"/>
    </row>
    <row r="19" spans="2:9" s="19" customFormat="1" x14ac:dyDescent="0.25">
      <c r="B19" s="249"/>
      <c r="C19"/>
      <c r="D19" s="205"/>
      <c r="E19" s="205"/>
      <c r="F19"/>
      <c r="G19"/>
      <c r="H19"/>
      <c r="I19"/>
    </row>
    <row r="20" spans="2:9" s="19" customFormat="1" x14ac:dyDescent="0.25">
      <c r="B20" s="228"/>
      <c r="C20"/>
      <c r="D20" s="205"/>
      <c r="E20" s="205"/>
      <c r="F20"/>
      <c r="G20"/>
      <c r="H20"/>
      <c r="I20"/>
    </row>
    <row r="21" spans="2:9" s="19" customFormat="1" x14ac:dyDescent="0.25">
      <c r="B21" s="227"/>
      <c r="C21"/>
      <c r="D21" s="205"/>
      <c r="E21" s="205"/>
      <c r="F21"/>
      <c r="G21"/>
      <c r="H21"/>
      <c r="I21"/>
    </row>
    <row r="22" spans="2:9" s="19" customFormat="1" x14ac:dyDescent="0.25">
      <c r="B22" s="228"/>
      <c r="C22"/>
      <c r="D22" s="205"/>
      <c r="E22" s="205"/>
      <c r="F22"/>
      <c r="G22"/>
      <c r="H22"/>
      <c r="I22"/>
    </row>
    <row r="23" spans="2:9" s="19" customFormat="1" x14ac:dyDescent="0.25">
      <c r="B23" s="227"/>
      <c r="C23"/>
      <c r="D23" s="205"/>
      <c r="E23" s="205"/>
      <c r="F23"/>
      <c r="G23"/>
      <c r="H23"/>
      <c r="I23"/>
    </row>
    <row r="24" spans="2:9" s="19" customFormat="1" x14ac:dyDescent="0.25">
      <c r="B24" s="227"/>
      <c r="C24"/>
      <c r="D24" s="205"/>
      <c r="E24" s="205"/>
      <c r="F24"/>
      <c r="G24"/>
      <c r="H24"/>
      <c r="I24"/>
    </row>
    <row r="25" spans="2:9" s="19" customFormat="1" x14ac:dyDescent="0.25">
      <c r="B25" s="227"/>
      <c r="C25"/>
      <c r="D25" s="205"/>
      <c r="E25" s="205"/>
      <c r="F25"/>
      <c r="G25"/>
      <c r="H25"/>
      <c r="I25"/>
    </row>
    <row r="26" spans="2:9" s="19" customFormat="1" x14ac:dyDescent="0.25">
      <c r="B26" s="227"/>
      <c r="C26"/>
      <c r="D26" s="205"/>
      <c r="E26" s="205"/>
      <c r="F26"/>
      <c r="G26"/>
      <c r="H26"/>
      <c r="I26"/>
    </row>
    <row r="27" spans="2:9" s="19" customFormat="1" x14ac:dyDescent="0.25">
      <c r="B27" s="227"/>
      <c r="C27"/>
      <c r="D27" s="205"/>
      <c r="E27" s="205"/>
      <c r="F27"/>
      <c r="G27"/>
      <c r="H27"/>
      <c r="I27"/>
    </row>
    <row r="28" spans="2:9" s="19" customFormat="1" x14ac:dyDescent="0.25">
      <c r="B28" s="228"/>
      <c r="C28"/>
      <c r="D28" s="205"/>
      <c r="E28" s="205"/>
      <c r="F28"/>
      <c r="G28"/>
      <c r="H28"/>
      <c r="I28"/>
    </row>
    <row r="29" spans="2:9" s="19" customFormat="1" x14ac:dyDescent="0.25">
      <c r="B29" s="228"/>
      <c r="C29"/>
      <c r="D29" s="205"/>
      <c r="E29" s="205"/>
      <c r="F29"/>
      <c r="G29"/>
      <c r="H29"/>
      <c r="I29"/>
    </row>
    <row r="30" spans="2:9" s="19" customFormat="1" x14ac:dyDescent="0.25">
      <c r="B30" s="228"/>
      <c r="C30"/>
      <c r="D30" s="205"/>
      <c r="E30" s="205"/>
      <c r="F30"/>
      <c r="G30"/>
      <c r="H30"/>
      <c r="I30"/>
    </row>
    <row r="31" spans="2:9" s="19" customFormat="1" x14ac:dyDescent="0.25">
      <c r="B31" s="228"/>
      <c r="C31"/>
      <c r="D31" s="205"/>
      <c r="E31" s="205"/>
      <c r="F31"/>
      <c r="G31"/>
      <c r="H31"/>
      <c r="I31"/>
    </row>
    <row r="32" spans="2:9" s="19" customFormat="1" x14ac:dyDescent="0.25">
      <c r="B32" s="228"/>
      <c r="C32"/>
      <c r="D32" s="205"/>
      <c r="E32" s="205"/>
      <c r="F32"/>
      <c r="G32"/>
      <c r="H32"/>
      <c r="I32"/>
    </row>
    <row r="33" spans="2:9" s="19" customFormat="1" x14ac:dyDescent="0.25">
      <c r="B33" s="228"/>
      <c r="C33"/>
      <c r="D33" s="205"/>
      <c r="E33" s="205"/>
      <c r="F33"/>
      <c r="G33"/>
      <c r="H33"/>
      <c r="I33"/>
    </row>
  </sheetData>
  <pageMargins left="0.7" right="0.7" top="0.75" bottom="0.75" header="0.3" footer="0.3"/>
  <pageSetup paperSize="9" orientation="portrait" horizontalDpi="4294967295" verticalDpi="4294967295"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k3zokVrr1NDno66pjGRIRDtWR9eOpJLkjXNJhb9Kjq8=</DigestValue>
    </Reference>
    <Reference Type="http://www.w3.org/2000/09/xmldsig#Object" URI="#idOfficeObject">
      <DigestMethod Algorithm="http://www.w3.org/2001/04/xmlenc#sha256"/>
      <DigestValue>7FIoyjpHlh9g+1DC0+V+aSwDwz/amMVmbq39G5zQupo=</DigestValue>
    </Reference>
    <Reference Type="http://uri.etsi.org/01903#SignedProperties" URI="#idSignedProperties">
      <Transforms>
        <Transform Algorithm="http://www.w3.org/TR/2001/REC-xml-c14n-20010315"/>
      </Transforms>
      <DigestMethod Algorithm="http://www.w3.org/2001/04/xmlenc#sha256"/>
      <DigestValue>6gPiJkX05t8/SJLgJF3neHgjVw8R63YRIFlGl+RgUmQ=</DigestValue>
    </Reference>
  </SignedInfo>
  <SignatureValue>R/tjfF3Uhh+PpM0Yz5PZAU8nHRr/qzg5QSZcFhVzxuAvYj+axaGjnr1h2SzHy15j0gro2dlYBK09
L26RQr/2sXF3iOMIizC1FKoyn2Rj1v+7VvqJWOnLCO7MUEFJfaeIw0MD4TQIp3oINVOsUmYQr+Ad
1UqzvqzayCHdw7cbr6CJUQlhsxhfqkSSIJSrpOOMDO6PsP8hwadPIxnDbi0dyOBKL8CvAlHl3vC8
Famz/bKMJHGMQRgMusFt9ltYE6Xd1N14SkkTecMXsbAR9pNzewXNtPxQ85RKauNUUKj+ub0O52+7
H9BL1DtADqsV79zxRwOTWDVDGeF2XS1tfDhbjg==</SignatureValue>
  <KeyInfo>
    <X509Data>
      <X509Certificate>MIIGPDCCBSSgAwIBAgIKRV/4vgADAAI3wTANBgkqhkiG9w0BAQsFADBKMRIwEAYKCZImiZPyLGQBGRYCZ2UxEzARBgoJkiaJk/IsZAEZFgNuYmcxHzAdBgNVBAMTFk5CRyBDbGFzcyAyIElOVCBTdWIgQ0EwHhcNMjMwNjIxMTAwOTUzWhcNMjUwNjIwMTAwOTUzWjA6MRYwFAYDVQQKEw1KU0MgU2lsayBCYW5rMSAwHgYDVQQDExdCQlQgLSBBbmkgTmlrb2xhaXNodmlsaTCCASIwDQYJKoZIhvcNAQEBBQADggEPADCCAQoCggEBANKl5/EMpKXRKWrAQpHXlIewMnXSOPaO1G+zlkRoda8byVQ+90mlPeeWm6xCZK7xxaiIPUhEFL+3Mw39bWpUywdgWCSwS1TtC04B1QPhlPMFiBKqZ/CMkKdAEcE/IlMchxZGPsshJplWMUERAS38LH5VNmmnVHJO7Im+P4LdRuHJogj1Enm0x7hqgb0O6TgCGYD73AHt1JOALnVl9Ac9F8lGHDebkdQM6ZalJjd5uEhmxih+tMTHqwTLxPWrq5PLhHVUWPCAAwOSufdGB6VstP0lgVMgX+068phOqsgv7AQhzedARZ6qoCKfMXuJN+r3w7RPegJNhWDHZgGGLm3WtW8CAwEAAaOCAzIwggMuMDwGCSsGAQQBgjcVBwQvMC0GJSsGAQQBgjcVCOayYION9USGgZkJg7ihSoO+hHEEg8SRM4SDiF0CAWQCASMwHQYDVR0lBBYwFAYIKwYBBQUHAwIGCCsGAQUFBwMEMAsGA1UdDwQEAwIHgDAnBgkrBgEEAYI3FQoEGjAYMAoGCCsGAQUFBwMCMAoGCCsGAQUFBwMEMB0GA1UdDgQWBBRPUaZV73TJHz1BcO1NoPdsridk2T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Y0FDZXJ0aWZpY2F0ZT9iYXNlP29iamVjdENsYXNzPWNlcnRpZmljYXRpb25BdXRob3JpdHkwXQYIKwYBBQUHMAKGUWh0dHA6Ly9jcmwubmJnLmdvdi5nZS9jYS9uYmctc3ViQ0EubmJnLmdlX05CRyUyMENsYXNzJTIwMiUyMElOVCUyMFN1YiUyMENBKDMpLmNydDANBgkqhkiG9w0BAQsFAAOCAQEAmaVjUAimbNWn/FLwI0FRnz+KWomKkL8QYPTvpmk1tTWly4lM9PVC2/UKwGt3usq6vGJTnmJ/XvkDcbD0aouELLzf2S+DDr5636WWRhII1pMKtZv8wcN/c42nLHpAuzaClpwGlsy/StKzGDbpd6hVeBTGhkzEaQc7MbdZ9doQKzhIgQP/6YIcbr0diLHusEwTL2TcpukEYIyRiPDnP/AZh6hT6KPK7toWkbhjGKQHzive++RvAZijwFn5bL8Mxf3KeazznglqCR1SzPmhLBSXNjo6Pxqf0zDsQ9pZgSscva5v4S76MnMRYucT91c0gsiN75m7MX0cfu3p9wi9ACTAi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8"/>
          </Transform>
          <Transform Algorithm="http://www.w3.org/TR/2001/REC-xml-c14n-20010315"/>
        </Transforms>
        <DigestMethod Algorithm="http://www.w3.org/2001/04/xmlenc#sha256"/>
        <DigestValue>2Bzs4gum/xWrzi1J3zlpKQjXfUFO8G5kngi4nc7nJGg=</DigestValue>
      </Reference>
      <Reference URI="/xl/calcChain.xml?ContentType=application/vnd.openxmlformats-officedocument.spreadsheetml.calcChain+xml">
        <DigestMethod Algorithm="http://www.w3.org/2001/04/xmlenc#sha256"/>
        <DigestValue>UbX2o89eYver37GVSQwD1tAI5qZY+u171X8SIZlIp/k=</DigestValue>
      </Reference>
      <Reference URI="/xl/drawings/drawing1.xml?ContentType=application/vnd.openxmlformats-officedocument.drawing+xml">
        <DigestMethod Algorithm="http://www.w3.org/2001/04/xmlenc#sha256"/>
        <DigestValue>DCB7cEMufEG5AMfOMashv0BLyW5sChQwGF5Qnod8j1g=</DigestValue>
      </Reference>
      <Reference URI="/xl/printerSettings/printerSettings1.bin?ContentType=application/vnd.openxmlformats-officedocument.spreadsheetml.printerSettings">
        <DigestMethod Algorithm="http://www.w3.org/2001/04/xmlenc#sha256"/>
        <DigestValue>ze+MZOtihPj9dKeV/Dz5QESpeY6Fdwmnkxhrh69STxA=</DigestValue>
      </Reference>
      <Reference URI="/xl/printerSettings/printerSettings10.bin?ContentType=application/vnd.openxmlformats-officedocument.spreadsheetml.printerSettings">
        <DigestMethod Algorithm="http://www.w3.org/2001/04/xmlenc#sha256"/>
        <DigestValue>ze+MZOtihPj9dKeV/Dz5QESpeY6Fdwmnkxhrh69STxA=</DigestValue>
      </Reference>
      <Reference URI="/xl/printerSettings/printerSettings11.bin?ContentType=application/vnd.openxmlformats-officedocument.spreadsheetml.printerSettings">
        <DigestMethod Algorithm="http://www.w3.org/2001/04/xmlenc#sha256"/>
        <DigestValue>2m6CW85rBYKpJKifjkFVt0n58BwBksWMXfva2VqaA+I=</DigestValue>
      </Reference>
      <Reference URI="/xl/printerSettings/printerSettings12.bin?ContentType=application/vnd.openxmlformats-officedocument.spreadsheetml.printerSettings">
        <DigestMethod Algorithm="http://www.w3.org/2001/04/xmlenc#sha256"/>
        <DigestValue>yMi8stU5bqFShuh1MUNAff1/atoh6+i0/ROVy9FQsKk=</DigestValue>
      </Reference>
      <Reference URI="/xl/printerSettings/printerSettings13.bin?ContentType=application/vnd.openxmlformats-officedocument.spreadsheetml.printerSettings">
        <DigestMethod Algorithm="http://www.w3.org/2001/04/xmlenc#sha256"/>
        <DigestValue>ikkLk/rccBhyQ2uROORDBh0hGumKP3271YbtkrSbbnE=</DigestValue>
      </Reference>
      <Reference URI="/xl/printerSettings/printerSettings14.bin?ContentType=application/vnd.openxmlformats-officedocument.spreadsheetml.printerSettings">
        <DigestMethod Algorithm="http://www.w3.org/2001/04/xmlenc#sha256"/>
        <DigestValue>16nRtTkTNfAdSTF0Lg1CT4t8t5VLf2B9wJs/PWFk54A=</DigestValue>
      </Reference>
      <Reference URI="/xl/printerSettings/printerSettings15.bin?ContentType=application/vnd.openxmlformats-officedocument.spreadsheetml.printerSettings">
        <DigestMethod Algorithm="http://www.w3.org/2001/04/xmlenc#sha256"/>
        <DigestValue>W0RzKeTSyBX1NWPc2PXbLRnpoMHF4CYB9Yv27RsAo68=</DigestValue>
      </Reference>
      <Reference URI="/xl/printerSettings/printerSettings16.bin?ContentType=application/vnd.openxmlformats-officedocument.spreadsheetml.printerSettings">
        <DigestMethod Algorithm="http://www.w3.org/2001/04/xmlenc#sha256"/>
        <DigestValue>16nRtTkTNfAdSTF0Lg1CT4t8t5VLf2B9wJs/PWFk54A=</DigestValue>
      </Reference>
      <Reference URI="/xl/printerSettings/printerSettings17.bin?ContentType=application/vnd.openxmlformats-officedocument.spreadsheetml.printerSettings">
        <DigestMethod Algorithm="http://www.w3.org/2001/04/xmlenc#sha256"/>
        <DigestValue>ze+MZOtihPj9dKeV/Dz5QESpeY6Fdwmnkxhrh69STxA=</DigestValue>
      </Reference>
      <Reference URI="/xl/printerSettings/printerSettings18.bin?ContentType=application/vnd.openxmlformats-officedocument.spreadsheetml.printerSettings">
        <DigestMethod Algorithm="http://www.w3.org/2001/04/xmlenc#sha256"/>
        <DigestValue>2m6CW85rBYKpJKifjkFVt0n58BwBksWMXfva2VqaA+I=</DigestValue>
      </Reference>
      <Reference URI="/xl/printerSettings/printerSettings19.bin?ContentType=application/vnd.openxmlformats-officedocument.spreadsheetml.printerSettings">
        <DigestMethod Algorithm="http://www.w3.org/2001/04/xmlenc#sha256"/>
        <DigestValue>ze+MZOtihPj9dKeV/Dz5QESpeY6Fdwmnkxhrh69STxA=</DigestValue>
      </Reference>
      <Reference URI="/xl/printerSettings/printerSettings2.bin?ContentType=application/vnd.openxmlformats-officedocument.spreadsheetml.printerSettings">
        <DigestMethod Algorithm="http://www.w3.org/2001/04/xmlenc#sha256"/>
        <DigestValue>16nRtTkTNfAdSTF0Lg1CT4t8t5VLf2B9wJs/PWFk54A=</DigestValue>
      </Reference>
      <Reference URI="/xl/printerSettings/printerSettings20.bin?ContentType=application/vnd.openxmlformats-officedocument.spreadsheetml.printerSettings">
        <DigestMethod Algorithm="http://www.w3.org/2001/04/xmlenc#sha256"/>
        <DigestValue>ikkLk/rccBhyQ2uROORDBh0hGumKP3271YbtkrSbbnE=</DigestValue>
      </Reference>
      <Reference URI="/xl/printerSettings/printerSettings21.bin?ContentType=application/vnd.openxmlformats-officedocument.spreadsheetml.printerSettings">
        <DigestMethod Algorithm="http://www.w3.org/2001/04/xmlenc#sha256"/>
        <DigestValue>zxLIGjiJ19gUsPtQr72salfkFKrVFBCr1X8320JEcsQ=</DigestValue>
      </Reference>
      <Reference URI="/xl/printerSettings/printerSettings22.bin?ContentType=application/vnd.openxmlformats-officedocument.spreadsheetml.printerSettings">
        <DigestMethod Algorithm="http://www.w3.org/2001/04/xmlenc#sha256"/>
        <DigestValue>iE26OokMEnQMYiWgMfFhVXzSbn0Dmk333xx6Y+G1iUw=</DigestValue>
      </Reference>
      <Reference URI="/xl/printerSettings/printerSettings23.bin?ContentType=application/vnd.openxmlformats-officedocument.spreadsheetml.printerSettings">
        <DigestMethod Algorithm="http://www.w3.org/2001/04/xmlenc#sha256"/>
        <DigestValue>nkR1lu9OLM1UMxWiPa7wm3YcnQOlFOICy95qYiodDz0=</DigestValue>
      </Reference>
      <Reference URI="/xl/printerSettings/printerSettings24.bin?ContentType=application/vnd.openxmlformats-officedocument.spreadsheetml.printerSettings">
        <DigestMethod Algorithm="http://www.w3.org/2001/04/xmlenc#sha256"/>
        <DigestValue>2bvX94YA3UVSaKlpfCjo157kRTaGD9ZFW7t96/Nk1uk=</DigestValue>
      </Reference>
      <Reference URI="/xl/printerSettings/printerSettings25.bin?ContentType=application/vnd.openxmlformats-officedocument.spreadsheetml.printerSettings">
        <DigestMethod Algorithm="http://www.w3.org/2001/04/xmlenc#sha256"/>
        <DigestValue>SWiohiWSuPjjcblZxueyphOzVidWJvXmdfCiNQW6SiY=</DigestValue>
      </Reference>
      <Reference URI="/xl/printerSettings/printerSettings26.bin?ContentType=application/vnd.openxmlformats-officedocument.spreadsheetml.printerSettings">
        <DigestMethod Algorithm="http://www.w3.org/2001/04/xmlenc#sha256"/>
        <DigestValue>iE26OokMEnQMYiWgMfFhVXzSbn0Dmk333xx6Y+G1iUw=</DigestValue>
      </Reference>
      <Reference URI="/xl/printerSettings/printerSettings27.bin?ContentType=application/vnd.openxmlformats-officedocument.spreadsheetml.printerSettings">
        <DigestMethod Algorithm="http://www.w3.org/2001/04/xmlenc#sha256"/>
        <DigestValue>qqKz7UtelGHdfiWdqNc1EvL8LqlQ7O4MTpeoyQcgyv0=</DigestValue>
      </Reference>
      <Reference URI="/xl/printerSettings/printerSettings28.bin?ContentType=application/vnd.openxmlformats-officedocument.spreadsheetml.printerSettings">
        <DigestMethod Algorithm="http://www.w3.org/2001/04/xmlenc#sha256"/>
        <DigestValue>QwnNNV1TzWHQTxDiUFLob7YPH2oopV/ZpEhX6RxcmB0=</DigestValue>
      </Reference>
      <Reference URI="/xl/printerSettings/printerSettings29.bin?ContentType=application/vnd.openxmlformats-officedocument.spreadsheetml.printerSettings">
        <DigestMethod Algorithm="http://www.w3.org/2001/04/xmlenc#sha256"/>
        <DigestValue>ze+MZOtihPj9dKeV/Dz5QESpeY6Fdwmnkxhrh69STxA=</DigestValue>
      </Reference>
      <Reference URI="/xl/printerSettings/printerSettings3.bin?ContentType=application/vnd.openxmlformats-officedocument.spreadsheetml.printerSettings">
        <DigestMethod Algorithm="http://www.w3.org/2001/04/xmlenc#sha256"/>
        <DigestValue>86+sc8Rko5cNZ5BGa++/4xNznWSElckK3iS1B5pTwDQ=</DigestValue>
      </Reference>
      <Reference URI="/xl/printerSettings/printerSettings4.bin?ContentType=application/vnd.openxmlformats-officedocument.spreadsheetml.printerSettings">
        <DigestMethod Algorithm="http://www.w3.org/2001/04/xmlenc#sha256"/>
        <DigestValue>ze+MZOtihPj9dKeV/Dz5QESpeY6Fdwmnkxhrh69STxA=</DigestValue>
      </Reference>
      <Reference URI="/xl/printerSettings/printerSettings5.bin?ContentType=application/vnd.openxmlformats-officedocument.spreadsheetml.printerSettings">
        <DigestMethod Algorithm="http://www.w3.org/2001/04/xmlenc#sha256"/>
        <DigestValue>ze+MZOtihPj9dKeV/Dz5QESpeY6Fdwmnkxhrh69STxA=</DigestValue>
      </Reference>
      <Reference URI="/xl/printerSettings/printerSettings6.bin?ContentType=application/vnd.openxmlformats-officedocument.spreadsheetml.printerSettings">
        <DigestMethod Algorithm="http://www.w3.org/2001/04/xmlenc#sha256"/>
        <DigestValue>L+CxbXS3yzcVLTJTz50kMb6T4gEHhM4qLfUzzpiwfWw=</DigestValue>
      </Reference>
      <Reference URI="/xl/printerSettings/printerSettings7.bin?ContentType=application/vnd.openxmlformats-officedocument.spreadsheetml.printerSettings">
        <DigestMethod Algorithm="http://www.w3.org/2001/04/xmlenc#sha256"/>
        <DigestValue>9mG81PytrHkYioZI1LP0ksiI7i+szuT1Vsy2GarE5gg=</DigestValue>
      </Reference>
      <Reference URI="/xl/printerSettings/printerSettings8.bin?ContentType=application/vnd.openxmlformats-officedocument.spreadsheetml.printerSettings">
        <DigestMethod Algorithm="http://www.w3.org/2001/04/xmlenc#sha256"/>
        <DigestValue>p15fOjzmBTLGI8Klf+TI4woTVTHX8Q0l14vNf+jwiuE=</DigestValue>
      </Reference>
      <Reference URI="/xl/printerSettings/printerSettings9.bin?ContentType=application/vnd.openxmlformats-officedocument.spreadsheetml.printerSettings">
        <DigestMethod Algorithm="http://www.w3.org/2001/04/xmlenc#sha256"/>
        <DigestValue>p15fOjzmBTLGI8Klf+TI4woTVTHX8Q0l14vNf+jwiuE=</DigestValue>
      </Reference>
      <Reference URI="/xl/sharedStrings.xml?ContentType=application/vnd.openxmlformats-officedocument.spreadsheetml.sharedStrings+xml">
        <DigestMethod Algorithm="http://www.w3.org/2001/04/xmlenc#sha256"/>
        <DigestValue>1qHVSFhYZOGT3L2MGVb7GgmWHgxSmLZ0F7f7h0lVIHw=</DigestValue>
      </Reference>
      <Reference URI="/xl/styles.xml?ContentType=application/vnd.openxmlformats-officedocument.spreadsheetml.styles+xml">
        <DigestMethod Algorithm="http://www.w3.org/2001/04/xmlenc#sha256"/>
        <DigestValue>sc8MG/9LcXeI9r4hwfjbuFFOlOwwzEnunN5Y39isiUc=</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I5wa83lQYqzPRJ9WM4AEKoS7wuCDE3xgtZawB53aVDw=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sBx0b9ghpBgbSA3BdECTuvRo+W0u0qgziEXskoG5SVQ=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QiDCyON6/l/Ti8hBcEpg68sz+6NJGWbPiZMQQy/y0eQ=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rLdvf3yY2ekrKu60idP2MsLKORy6SOjqi0FnsyMynGM=</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HTYaQi0KtdQ+B1oDWji35M/0dutqOPx8jsY1TtQMpYg=</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g+lUxrbi/VMbCtEnyHbMjSNjG5WBw/3Kqb/s9D39uLA=</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k1lyfwqmmD/+IoVTg0kz9LzXUr1Uk3Si/nXVc+rnGMI=</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3BU9j2nE/T0n7gCQLFZTcYggRvLBqeLDRh+2LLtPr1I=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t2ob+cmcZ/9/E0m0dlm+hks73iXEnsIYXXaHseoQAQE=</DigestValue>
      </Reference>
      <Reference URI="/xl/worksheets/sheet10.xml?ContentType=application/vnd.openxmlformats-officedocument.spreadsheetml.worksheet+xml">
        <DigestMethod Algorithm="http://www.w3.org/2001/04/xmlenc#sha256"/>
        <DigestValue>Gm/MjFmzfexo2eiD4MrlQg5HXTDuLoFKPpIevquI7nU=</DigestValue>
      </Reference>
      <Reference URI="/xl/worksheets/sheet11.xml?ContentType=application/vnd.openxmlformats-officedocument.spreadsheetml.worksheet+xml">
        <DigestMethod Algorithm="http://www.w3.org/2001/04/xmlenc#sha256"/>
        <DigestValue>AR+3aRJkgJHmaJ6xmOywTnbvc6O/2GPErDaUA2mbp2M=</DigestValue>
      </Reference>
      <Reference URI="/xl/worksheets/sheet12.xml?ContentType=application/vnd.openxmlformats-officedocument.spreadsheetml.worksheet+xml">
        <DigestMethod Algorithm="http://www.w3.org/2001/04/xmlenc#sha256"/>
        <DigestValue>CcnFUBDVLfBI9ncUEScWd8mjM1SmlrIIJD7OejGEkYs=</DigestValue>
      </Reference>
      <Reference URI="/xl/worksheets/sheet13.xml?ContentType=application/vnd.openxmlformats-officedocument.spreadsheetml.worksheet+xml">
        <DigestMethod Algorithm="http://www.w3.org/2001/04/xmlenc#sha256"/>
        <DigestValue>GrOGpQJJgqRJ89jW1u/V/c1mJOUJ0EXY03U5bQ8wbH4=</DigestValue>
      </Reference>
      <Reference URI="/xl/worksheets/sheet14.xml?ContentType=application/vnd.openxmlformats-officedocument.spreadsheetml.worksheet+xml">
        <DigestMethod Algorithm="http://www.w3.org/2001/04/xmlenc#sha256"/>
        <DigestValue>bbpxesX43b9bZkWP1QErZ6GbDaQ7odD6zmNn5LlvOps=</DigestValue>
      </Reference>
      <Reference URI="/xl/worksheets/sheet15.xml?ContentType=application/vnd.openxmlformats-officedocument.spreadsheetml.worksheet+xml">
        <DigestMethod Algorithm="http://www.w3.org/2001/04/xmlenc#sha256"/>
        <DigestValue>IcGcfQHjzgM+VbIufbTueUIoLqyaWgF0GiQchnyv9so=</DigestValue>
      </Reference>
      <Reference URI="/xl/worksheets/sheet16.xml?ContentType=application/vnd.openxmlformats-officedocument.spreadsheetml.worksheet+xml">
        <DigestMethod Algorithm="http://www.w3.org/2001/04/xmlenc#sha256"/>
        <DigestValue>FTDQTn9i5HmfRZ1hyg0flRWElIp1MokntiB0nZ4S4zo=</DigestValue>
      </Reference>
      <Reference URI="/xl/worksheets/sheet17.xml?ContentType=application/vnd.openxmlformats-officedocument.spreadsheetml.worksheet+xml">
        <DigestMethod Algorithm="http://www.w3.org/2001/04/xmlenc#sha256"/>
        <DigestValue>dnT4e6crr+aVivjCCl3aA5NszR5KkDIZf2K3hJy0CCc=</DigestValue>
      </Reference>
      <Reference URI="/xl/worksheets/sheet18.xml?ContentType=application/vnd.openxmlformats-officedocument.spreadsheetml.worksheet+xml">
        <DigestMethod Algorithm="http://www.w3.org/2001/04/xmlenc#sha256"/>
        <DigestValue>u3jTcfHl0N8OoFXo9LDBULwxViggFQ2jB/Qntjbzi2U=</DigestValue>
      </Reference>
      <Reference URI="/xl/worksheets/sheet19.xml?ContentType=application/vnd.openxmlformats-officedocument.spreadsheetml.worksheet+xml">
        <DigestMethod Algorithm="http://www.w3.org/2001/04/xmlenc#sha256"/>
        <DigestValue>WTO5jowNphqFJ41xCGSgWZRbm1cXSLT1rogiINfzC88=</DigestValue>
      </Reference>
      <Reference URI="/xl/worksheets/sheet2.xml?ContentType=application/vnd.openxmlformats-officedocument.spreadsheetml.worksheet+xml">
        <DigestMethod Algorithm="http://www.w3.org/2001/04/xmlenc#sha256"/>
        <DigestValue>Ay014Vzvc13eUjlPh1uursLEs2FeHRxGj0ngAZMBC74=</DigestValue>
      </Reference>
      <Reference URI="/xl/worksheets/sheet20.xml?ContentType=application/vnd.openxmlformats-officedocument.spreadsheetml.worksheet+xml">
        <DigestMethod Algorithm="http://www.w3.org/2001/04/xmlenc#sha256"/>
        <DigestValue>FMuIvOJTZU/ik28EQbt/zAmdNw3WbIPhuZ8EiiOwK/A=</DigestValue>
      </Reference>
      <Reference URI="/xl/worksheets/sheet21.xml?ContentType=application/vnd.openxmlformats-officedocument.spreadsheetml.worksheet+xml">
        <DigestMethod Algorithm="http://www.w3.org/2001/04/xmlenc#sha256"/>
        <DigestValue>qpsLL0b1XgafkkMfnoEnd1UpeMizvrgL9Myc5eDRhF0=</DigestValue>
      </Reference>
      <Reference URI="/xl/worksheets/sheet22.xml?ContentType=application/vnd.openxmlformats-officedocument.spreadsheetml.worksheet+xml">
        <DigestMethod Algorithm="http://www.w3.org/2001/04/xmlenc#sha256"/>
        <DigestValue>kQ+hG093VmOk1Pi4ZaiOMsBDkbmoh/5VHZLhCtrYCW8=</DigestValue>
      </Reference>
      <Reference URI="/xl/worksheets/sheet23.xml?ContentType=application/vnd.openxmlformats-officedocument.spreadsheetml.worksheet+xml">
        <DigestMethod Algorithm="http://www.w3.org/2001/04/xmlenc#sha256"/>
        <DigestValue>xXQtW/alOYk6qqunTlM9+UN7/iirGTnT/AHEgTHkFso=</DigestValue>
      </Reference>
      <Reference URI="/xl/worksheets/sheet24.xml?ContentType=application/vnd.openxmlformats-officedocument.spreadsheetml.worksheet+xml">
        <DigestMethod Algorithm="http://www.w3.org/2001/04/xmlenc#sha256"/>
        <DigestValue>2AwK8yubhnePa35kZm0dLR426b6TGsmaRFxhQsSysOE=</DigestValue>
      </Reference>
      <Reference URI="/xl/worksheets/sheet25.xml?ContentType=application/vnd.openxmlformats-officedocument.spreadsheetml.worksheet+xml">
        <DigestMethod Algorithm="http://www.w3.org/2001/04/xmlenc#sha256"/>
        <DigestValue>bLJ61PguuySn8pY/5Pm4RUdckpKBEs+98hhrY49y0mk=</DigestValue>
      </Reference>
      <Reference URI="/xl/worksheets/sheet26.xml?ContentType=application/vnd.openxmlformats-officedocument.spreadsheetml.worksheet+xml">
        <DigestMethod Algorithm="http://www.w3.org/2001/04/xmlenc#sha256"/>
        <DigestValue>QQEhtCNJfeQVHvlV3rw7uajewM3hCyFXYbM/+zkHZgM=</DigestValue>
      </Reference>
      <Reference URI="/xl/worksheets/sheet27.xml?ContentType=application/vnd.openxmlformats-officedocument.spreadsheetml.worksheet+xml">
        <DigestMethod Algorithm="http://www.w3.org/2001/04/xmlenc#sha256"/>
        <DigestValue>uHZeqaQA1mdUh8yhrkqMeaCN+WOHcKWZIMNSgrkRFac=</DigestValue>
      </Reference>
      <Reference URI="/xl/worksheets/sheet28.xml?ContentType=application/vnd.openxmlformats-officedocument.spreadsheetml.worksheet+xml">
        <DigestMethod Algorithm="http://www.w3.org/2001/04/xmlenc#sha256"/>
        <DigestValue>QzHBhDt2zJn5y6amPWvQzYo8//QUcYIxYDYLYP2KPcA=</DigestValue>
      </Reference>
      <Reference URI="/xl/worksheets/sheet29.xml?ContentType=application/vnd.openxmlformats-officedocument.spreadsheetml.worksheet+xml">
        <DigestMethod Algorithm="http://www.w3.org/2001/04/xmlenc#sha256"/>
        <DigestValue>nKlei2TqqK/nDE+mYAeG8eWgeP209STpA/L4CY0e5F0=</DigestValue>
      </Reference>
      <Reference URI="/xl/worksheets/sheet3.xml?ContentType=application/vnd.openxmlformats-officedocument.spreadsheetml.worksheet+xml">
        <DigestMethod Algorithm="http://www.w3.org/2001/04/xmlenc#sha256"/>
        <DigestValue>cSKpyEyhxUp8soZDZlOXdcCoi7QbZOZMnSrLbcYjvXg=</DigestValue>
      </Reference>
      <Reference URI="/xl/worksheets/sheet4.xml?ContentType=application/vnd.openxmlformats-officedocument.spreadsheetml.worksheet+xml">
        <DigestMethod Algorithm="http://www.w3.org/2001/04/xmlenc#sha256"/>
        <DigestValue>V0eHVvAODEQSca1SwuI6Fzs17IrWs9IMqUr5Lcy4oMM=</DigestValue>
      </Reference>
      <Reference URI="/xl/worksheets/sheet5.xml?ContentType=application/vnd.openxmlformats-officedocument.spreadsheetml.worksheet+xml">
        <DigestMethod Algorithm="http://www.w3.org/2001/04/xmlenc#sha256"/>
        <DigestValue>rr3DaXcDMD9J3ynS8Un6jnr8GVtYTUri1Oxbs7f63eM=</DigestValue>
      </Reference>
      <Reference URI="/xl/worksheets/sheet6.xml?ContentType=application/vnd.openxmlformats-officedocument.spreadsheetml.worksheet+xml">
        <DigestMethod Algorithm="http://www.w3.org/2001/04/xmlenc#sha256"/>
        <DigestValue>m1CljkPhZZiAaAO2ObI7aigy0PIpC/Z5VVzhfH9vuhU=</DigestValue>
      </Reference>
      <Reference URI="/xl/worksheets/sheet7.xml?ContentType=application/vnd.openxmlformats-officedocument.spreadsheetml.worksheet+xml">
        <DigestMethod Algorithm="http://www.w3.org/2001/04/xmlenc#sha256"/>
        <DigestValue>shJGb6jVWAeJI/Ors3+gYhNHl5K3cSJyLjgIOiB/95s=</DigestValue>
      </Reference>
      <Reference URI="/xl/worksheets/sheet8.xml?ContentType=application/vnd.openxmlformats-officedocument.spreadsheetml.worksheet+xml">
        <DigestMethod Algorithm="http://www.w3.org/2001/04/xmlenc#sha256"/>
        <DigestValue>74qRuFLeroTdNVwb1oWNHigtHtVfPolN1N/j7FIE7Tc=</DigestValue>
      </Reference>
      <Reference URI="/xl/worksheets/sheet9.xml?ContentType=application/vnd.openxmlformats-officedocument.spreadsheetml.worksheet+xml">
        <DigestMethod Algorithm="http://www.w3.org/2001/04/xmlenc#sha256"/>
        <DigestValue>iRikAwW+8JU5tGJUYh4/fOZdZz4Y4gtdGLTBtlFLGwc=</DigestValue>
      </Reference>
    </Manifest>
    <SignatureProperties>
      <SignatureProperty Id="idSignatureTime" Target="#idPackageSignature">
        <mdssi:SignatureTime xmlns:mdssi="http://schemas.openxmlformats.org/package/2006/digital-signature">
          <mdssi:Format>YYYY-MM-DDThh:mm:ssTZD</mdssi:Format>
          <mdssi:Value>2023-08-04T13:26:09Z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16.0.16626/25</OfficeVersion>
          <ApplicationVersion>16.0.16626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2023-08-04T13:26:09Z</xd:SigningTime>
          <xd:SigningCertificate>
            <xd:Cert>
              <xd:CertDigest>
                <DigestMethod Algorithm="http://www.w3.org/2001/04/xmlenc#sha256"/>
                <DigestValue>VNnHlJ16GeZNCEpJbT/lboQow0Ra2XMpk/xHD8eYpJY=</DigestValue>
              </xd:CertDigest>
              <xd:IssuerSerial>
                <X509IssuerName>CN=NBG Class 2 INT Sub CA, DC=nbg, DC=ge</X509IssuerName>
                <X509SerialNumber>327613651768587793348545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gDCCA2igAwIBAgIKYbTEEAAAAAAAoTANBgkqhkiG9w0BAQsFADBHMRIwEAYKCZImiZPyLGQBGRYCZ2UxEzARBgoJkiaJk/IsZAEZFgNuYmcxHDAaBgNVBAMTE05CRyBDbGFzcyAxIFJvb3QgQ0EwHhcNMjEwMzIxMDYzNzI5WhcNMjUxMTI0MjI0OTMzWjBKMRIwEAYKCZImiZPyLGQBGRYCZ2UxEzARBgoJkiaJk/IsZAEZFgNuYmcxHzAdBgNVBAMTFk5CRyBDbGFzcyAyIElOVCBTdWIgQ0EwggEiMA0GCSqGSIb3DQEBAQUAA4IBDwAwggEKAoIBAQCzZc/9jUbS4Uinp9r8TQ9taryMlFEQzOqa5sdTa24xdN4k+ubo6S63dnWGe8dBZecLWY1kSzGBTPyKwZaKihRtlg4jqYqJPpuBh4PA22LaxUV5WJOO6k5gMGVN34DkZ9YVRcSPS7BkkA3FvPd9iW8EknVdRCK3JvfeBZF+eV0MDu3vYOw4OpA+Kx9oQdPT1OKgqrtpV23d4tV667AzNSGVPBnt+EfspbD4hKw1ARpFXwg0a6gtMwtinaBtXOqrpVEUY5oKIiD+lkArl9FuByYxYXttxcYqe2SYnBjKehHoH2BG8QXma8XFUZSs+ipQn6tB7YPjTh0rCHx9bRgcsWBpAgMBAAGjggFpMIIBZTASBgkrBgEEAYI3FQEEBQIDAQADMCMGCSsGAQQBgjcVAgQWBBTr5fKvHKd0Pip0sxFeH2mviCb3KjAdBgNVHQ4EFgQUwy7SL/BMLxnCJ4L89i6sarBJz8EwGQYJKwYBBAGCNxQCBAweCgBTAHUAYgBDAEEwCwYDVR0PBAQDAgGGMA8GA1UdEwEB/wQFMAMBAf8wHwYDVR0jBBgwFoAU6CYsCoPW18Do/q4IevdFE0cp8hkwSQYDVR0fBEIwQDA+oDygOoY4aHR0cDovL2NybC5uYmcuZ292LmdlL2NhL05CRyUyMENsYXNzJTIwMSUyMFJvb3QlMjBDQS5jcmwwZgYIKwYBBQUHAQEEWjBYMFYGCCsGAQUFBzAChkpodHRwOi8vY3JsLm5iZy5nb3YuZ2UvY2EvbmJnLXJvb3RDQS5uYmcuZ2VfTkJHJTIwQ2xhc3MlMjAxJTIwUm9vdCUyMENBLmNydDANBgkqhkiG9w0BAQsFAAOCAQEAAVMBf6sJWsuH4cEqVr/vLVjY4BtCNZ/y45iiB8oesuSBxB8PzpEpauUgkwFcXrqrrGYxmDQVxU1s6hKLYH6xtnGaOPcV5DESkWcnBed7GqXrGcTOF8HFezmDRKDWXhad6pEwxNTk3KfDNQg/Qt7iELbontj9Ao2gIfqi+YVunxXADsO32sqsDz9iw9+3GJsLhWRF/P4d+dVAoT5dY8GAhgjyQTvAo9DxSK895byMVyZzWMWbLMtdCSjuavghy75JIK2OY9TYDoMv4H/fcEysQr14hnKC7oyluRE6UFgiGsWRzCdt3TcI/1BqHKZcFiSKG4gacIF4GyCXHdzd/gYLyQ==</xd:EncapsulatedX509Certificate>
            <xd:EncapsulatedX509Certificate>MIIDfjCCAmagAwIBAgIQWk0Eq2kmi5NMOEEOPGSixjANBgkqhkiG9w0BAQUFADBHMRIwEAYKCZImiZPyLGQBGRYCZ2UxEzARBgoJkiaJk/IsZAEZFgNuYmcxHDAaBgNVBAMTE05CRyBDbGFzcyAxIFJvb3QgQ0EwHhcNMTAxMTI0MjIzOTM0WhcNMjUxMTI0MjI0OTMzWjBHMRIwEAYKCZImiZPyLGQBGRYCZ2UxEzARBgoJkiaJk/IsZAEZFgNuYmcxHDAaBgNVBAMTE05CRyBDbGFzcyAxIFJvb3QgQ0EwggEiMA0GCSqGSIb3DQEBAQUAA4IBDwAwggEKAoIBAQC10LJuvb/cvZzGrHQLwHwBf+8UUxQYtOZKWzNTNgQ6N+4mZ1Z+APzEzWArGAOb+1saGjZxbln1SzXBVWjg9K/YwNojoRUgpMsgwhlfmqNVKTaJh9isLx0V7MNN+/9yZgspe2n/Enga4TaDzPsW9G8cfmTGkE12spVYnphGsz49Nz6mP907sT2efkca9Wgh7lo8UthX5UcpIFbsXa4W53Txg97zyD8nxs701yiZT/2qSPWUaulMG+scanSqnMUb0oifwX6HfpMH20cGs6vUWlZuJkDX3M0XCSMqqnLC3IBQNxkggONyu2Yo63puU5SsTCdsZspgYq3k6o88xB1+53X9AgMBAAGjZjBkMBMGCSsGAQQBgjcUAgQGHgQAQwBBMAsGA1UdDwQEAwIBhjAPBgNVHRMBAf8EBTADAQH/MB0GA1UdDgQWBBToJiwKg9bXwOj+rgh690UTRynyGTAQBgkrBgEEAYI3FQEEAwIBADANBgkqhkiG9w0BAQUFAAOCAQEAWsTvb+7fJL82wQBXrOrRXtBRInSKOve5YoXd43N9iylXSLHndIi5wiWEevExappJOD/d5QakbWAnT05kArleAPtPQYb7zazvnmC48CDFIPocHESAYjUnqixMnHFdpFr0+m1TArbZLVNOG65lc9o1kKSMv7dMlAlbNaL428TEnDK/TmVrLhwzsuhpu5yTscSNiKHVFSGA7N5IMYCU7Q/fPuhlAkoz5lfkJc3pxPXH1Fjjd+KE8PxfNmkpMduZBOJu4Eu7zW5MVyeGzUqGGgqED8VzO+XK7choDlUQz5GPoYBQhJlLzFg8cvNWfgmRNq3zuqoiH/spf7RGQCufR5wJqA==</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VROzX7nxOr52l+cDVM/zJeVUnilMwbXH34F8g18HKkA=</DigestValue>
    </Reference>
    <Reference Type="http://www.w3.org/2000/09/xmldsig#Object" URI="#idOfficeObject">
      <DigestMethod Algorithm="http://www.w3.org/2001/04/xmlenc#sha256"/>
      <DigestValue>AlVU5OUSlx0ZdDKGPDUgZ80b02ztJY+NnrU0spxm1p4=</DigestValue>
    </Reference>
    <Reference Type="http://uri.etsi.org/01903#SignedProperties" URI="#idSignedProperties">
      <Transforms>
        <Transform Algorithm="http://www.w3.org/TR/2001/REC-xml-c14n-20010315"/>
      </Transforms>
      <DigestMethod Algorithm="http://www.w3.org/2001/04/xmlenc#sha256"/>
      <DigestValue>evV019rY0UwUVi4jCn9yeQXeNB2AV2Dl3G0P7uADnj4=</DigestValue>
    </Reference>
  </SignedInfo>
  <SignatureValue>SwaLLSFKOVQWhwRCl+h3ZqHUeG5GpYFGVjLkyW9U9WpFLSDC9Pz+ZRyDaa80Ynl4VCIfDoGX4xdX
vVa1xMSWEO1ooZvOQDt09xre8OTwcNgrIOlP/Si2599iOq57H2Zv8rNyR3M1dFJZAiuKG6EjGS1V
/QlKPvuT7VFE9OQPbygMoPYTHeQoubMTg+PWdiJp89gLMXLhmFfHR+gtx686fL8YNc+xLu3LT8oN
66w3UuZo9iptryHramz2BAOR8ctSUKKJhYFkJTIKTyF2SUfksZrcMI/1/sV52GQ4XzQxSKk+RVfe
9iya09+BFsDpAFb6g/GCi7yCpuKRuKyzXSGNsw==</SignatureValue>
  <KeyInfo>
    <X509Data>
      <X509Certificate>MIIGQDCCBSigAwIBAgIKRWJBsAADAAI3wjANBgkqhkiG9w0BAQsFADBKMRIwEAYKCZImiZPyLGQBGRYCZ2UxEzARBgoJkiaJk/IsZAEZFgNuYmcxHzAdBgNVBAMTFk5CRyBDbGFzcyAyIElOVCBTdWIgQ0EwHhcNMjMwNjIxMTAxMjIzWhcNMjUwNjIwMTAxMjIzWjA+MRYwFAYDVQQKEw1KU0MgU2lsayBCYW5rMSQwIgYDVQQDExtCQlQgLSBJcm1hIFBvdHNraHZlcmFzaHZpbGkwggEiMA0GCSqGSIb3DQEBAQUAA4IBDwAwggEKAoIBAQDmKcUsG+HPfhK5WeWFjxjxe28/wOL73Z40aTvqY+zFgfQXh6ZFyY1bDovfOIiJdNODDwyQuhTMy1hGyLz7Z4UZEBLLap+tHY/RXG5VYcwLwMOSSiOWJPLnqBdsHKIBCxAU0cEZDqCFoDYSy1EPsyus9VZ1LmesfnPKLJmkbY1a3wL9smjCVLQUuKi+6xCZJXmCkPlPKTNjHFz091O57cmACXVNY8gOr3t7gtiM1P1vyTzw/EvPRnd0+juKpeaBCSWJvuWoV/7oEHR1d7E7+3OpLJrsWFtF3nfHO5ka2wpI+i5udPg0tZEoCfxzwqCmMVwzsfIjQSCmKf6WKqJglr65AgMBAAGjggMyMIIDLjA8BgkrBgEEAYI3FQcELzAtBiUrBgEEAYI3FQjmsmCDjfVEhoGZCYO4oUqDvoRxBIPEkTOEg4hdAgFkAgEjMB0GA1UdJQQWMBQGCCsGAQUFBwMCBggrBgEFBQcDBDALBgNVHQ8EBAMCB4AwJwYJKwYBBAGCNxUKBBowGDAKBggrBgEFBQcDAjAKBggrBgEFBQcDBDAdBgNVHQ4EFgQUK+yMFkR/OlzWAcb9PkcGCd3/J6UwHwYDVR0jBBgwFoAUwy7SL/BMLxnCJ4L89i6sarBJz8EwggElBgNVHR8EggEcMIIBGDCCARSgggEQoIIBDIaBx2xkYXA6Ly8vQ049TkJHJTIwQ2xhc3MlMjAyJTIwSU5UJTIwU3ViJTIwQ0EoMSksQ049bmJnLXN1YkNBLENOPUNEUCxDTj1QdWJsaWMlMjBLZXklMjBTZXJ2aWNlcyxDTj1TZXJ2aWNlcyxDTj1Db25maWd1cmF0aW9uLERDPW5iZyxEQz1nZT9jZXJ0aWZpY2F0ZVJldm9jYXRpb25MaXN0P2Jhc2U/b2JqZWN0Q2xhc3M9Y1JMRGlzdHJpYnV0aW9uUG9pbnSGQGh0dHA6Ly9jcmwubmJnLmdvdi5nZS9jYS9OQkclMjBDbGFzcyUyMDIlMjBJTlQlMjBTdWIlMjBDQSgxKS5jcmwwggEuBggrBgEFBQcBAQSCASAwggEcMIG6BggrBgEFBQcwAoaBrWxkYXA6Ly8vQ049TkJHJTIwQ2xhc3MlMjAyJTIwSU5UJTIwU3ViJTIwQ0EsQ049QUlBLENOPVB1YmxpYyUyMEtleSUyMFNlcnZpY2VzLENOPVNlcnZpY2VzLENOPUNvbmZpZ3VyYXRpb24sREM9bmJnLERDPWdlP2NBQ2VydGlmaWNhdGU/YmFzZT9vYmplY3RDbGFzcz1jZXJ0aWZpY2F0aW9uQXV0aG9yaXR5MF0GCCsGAQUFBzAChlFodHRwOi8vY3JsLm5iZy5nb3YuZ2UvY2EvbmJnLXN1YkNBLm5iZy5nZV9OQkclMjBDbGFzcyUyMDIlMjBJTlQlMjBTdWIlMjBDQSgzKS5jcnQwDQYJKoZIhvcNAQELBQADggEBADEL8JoVkRc8MtTDSuY6MkOGtRgnco6rYw5m1JjMbTENcs6S5x/1QXTtuj8UoSAEttoh3NN1st+8Mf902zNdIVyxUHjyFFVIbdgCicqBW4d3SGyHo969/smzYvgOOQzfWBz6qmwQRonbvDyL6FrBpntBgZhmHTFRpgTQa1KAuOlC1Ztwr6kncqPoXxgZc0ZhigVt/gQ2YLLwpc6pxlEvP5qiu4oeTjTe3UC8NOMP7g3JHY9HgFxv2ZPEiLc7ETOZCYUbIgSXMQLwb8nFsY/ERsAvQBj5b29muz9VhWW5GrN1GXSLdFJ20FCeAvTwMW9B60ut3YK0olsHpZo9AV4X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2Bzs4gum/xWrzi1J3zlpKQjXfUFO8G5kngi4nc7nJGg=</DigestValue>
      </Reference>
      <Reference URI="/xl/calcChain.xml?ContentType=application/vnd.openxmlformats-officedocument.spreadsheetml.calcChain+xml">
        <DigestMethod Algorithm="http://www.w3.org/2001/04/xmlenc#sha256"/>
        <DigestValue>UbX2o89eYver37GVSQwD1tAI5qZY+u171X8SIZlIp/k=</DigestValue>
      </Reference>
      <Reference URI="/xl/drawings/drawing1.xml?ContentType=application/vnd.openxmlformats-officedocument.drawing+xml">
        <DigestMethod Algorithm="http://www.w3.org/2001/04/xmlenc#sha256"/>
        <DigestValue>DCB7cEMufEG5AMfOMashv0BLyW5sChQwGF5Qnod8j1g=</DigestValue>
      </Reference>
      <Reference URI="/xl/printerSettings/printerSettings1.bin?ContentType=application/vnd.openxmlformats-officedocument.spreadsheetml.printerSettings">
        <DigestMethod Algorithm="http://www.w3.org/2001/04/xmlenc#sha256"/>
        <DigestValue>ze+MZOtihPj9dKeV/Dz5QESpeY6Fdwmnkxhrh69STxA=</DigestValue>
      </Reference>
      <Reference URI="/xl/printerSettings/printerSettings10.bin?ContentType=application/vnd.openxmlformats-officedocument.spreadsheetml.printerSettings">
        <DigestMethod Algorithm="http://www.w3.org/2001/04/xmlenc#sha256"/>
        <DigestValue>ze+MZOtihPj9dKeV/Dz5QESpeY6Fdwmnkxhrh69STxA=</DigestValue>
      </Reference>
      <Reference URI="/xl/printerSettings/printerSettings11.bin?ContentType=application/vnd.openxmlformats-officedocument.spreadsheetml.printerSettings">
        <DigestMethod Algorithm="http://www.w3.org/2001/04/xmlenc#sha256"/>
        <DigestValue>2m6CW85rBYKpJKifjkFVt0n58BwBksWMXfva2VqaA+I=</DigestValue>
      </Reference>
      <Reference URI="/xl/printerSettings/printerSettings12.bin?ContentType=application/vnd.openxmlformats-officedocument.spreadsheetml.printerSettings">
        <DigestMethod Algorithm="http://www.w3.org/2001/04/xmlenc#sha256"/>
        <DigestValue>yMi8stU5bqFShuh1MUNAff1/atoh6+i0/ROVy9FQsKk=</DigestValue>
      </Reference>
      <Reference URI="/xl/printerSettings/printerSettings13.bin?ContentType=application/vnd.openxmlformats-officedocument.spreadsheetml.printerSettings">
        <DigestMethod Algorithm="http://www.w3.org/2001/04/xmlenc#sha256"/>
        <DigestValue>ikkLk/rccBhyQ2uROORDBh0hGumKP3271YbtkrSbbnE=</DigestValue>
      </Reference>
      <Reference URI="/xl/printerSettings/printerSettings14.bin?ContentType=application/vnd.openxmlformats-officedocument.spreadsheetml.printerSettings">
        <DigestMethod Algorithm="http://www.w3.org/2001/04/xmlenc#sha256"/>
        <DigestValue>16nRtTkTNfAdSTF0Lg1CT4t8t5VLf2B9wJs/PWFk54A=</DigestValue>
      </Reference>
      <Reference URI="/xl/printerSettings/printerSettings15.bin?ContentType=application/vnd.openxmlformats-officedocument.spreadsheetml.printerSettings">
        <DigestMethod Algorithm="http://www.w3.org/2001/04/xmlenc#sha256"/>
        <DigestValue>W0RzKeTSyBX1NWPc2PXbLRnpoMHF4CYB9Yv27RsAo68=</DigestValue>
      </Reference>
      <Reference URI="/xl/printerSettings/printerSettings16.bin?ContentType=application/vnd.openxmlformats-officedocument.spreadsheetml.printerSettings">
        <DigestMethod Algorithm="http://www.w3.org/2001/04/xmlenc#sha256"/>
        <DigestValue>16nRtTkTNfAdSTF0Lg1CT4t8t5VLf2B9wJs/PWFk54A=</DigestValue>
      </Reference>
      <Reference URI="/xl/printerSettings/printerSettings17.bin?ContentType=application/vnd.openxmlformats-officedocument.spreadsheetml.printerSettings">
        <DigestMethod Algorithm="http://www.w3.org/2001/04/xmlenc#sha256"/>
        <DigestValue>ze+MZOtihPj9dKeV/Dz5QESpeY6Fdwmnkxhrh69STxA=</DigestValue>
      </Reference>
      <Reference URI="/xl/printerSettings/printerSettings18.bin?ContentType=application/vnd.openxmlformats-officedocument.spreadsheetml.printerSettings">
        <DigestMethod Algorithm="http://www.w3.org/2001/04/xmlenc#sha256"/>
        <DigestValue>2m6CW85rBYKpJKifjkFVt0n58BwBksWMXfva2VqaA+I=</DigestValue>
      </Reference>
      <Reference URI="/xl/printerSettings/printerSettings19.bin?ContentType=application/vnd.openxmlformats-officedocument.spreadsheetml.printerSettings">
        <DigestMethod Algorithm="http://www.w3.org/2001/04/xmlenc#sha256"/>
        <DigestValue>ze+MZOtihPj9dKeV/Dz5QESpeY6Fdwmnkxhrh69STxA=</DigestValue>
      </Reference>
      <Reference URI="/xl/printerSettings/printerSettings2.bin?ContentType=application/vnd.openxmlformats-officedocument.spreadsheetml.printerSettings">
        <DigestMethod Algorithm="http://www.w3.org/2001/04/xmlenc#sha256"/>
        <DigestValue>16nRtTkTNfAdSTF0Lg1CT4t8t5VLf2B9wJs/PWFk54A=</DigestValue>
      </Reference>
      <Reference URI="/xl/printerSettings/printerSettings20.bin?ContentType=application/vnd.openxmlformats-officedocument.spreadsheetml.printerSettings">
        <DigestMethod Algorithm="http://www.w3.org/2001/04/xmlenc#sha256"/>
        <DigestValue>ikkLk/rccBhyQ2uROORDBh0hGumKP3271YbtkrSbbnE=</DigestValue>
      </Reference>
      <Reference URI="/xl/printerSettings/printerSettings21.bin?ContentType=application/vnd.openxmlformats-officedocument.spreadsheetml.printerSettings">
        <DigestMethod Algorithm="http://www.w3.org/2001/04/xmlenc#sha256"/>
        <DigestValue>zxLIGjiJ19gUsPtQr72salfkFKrVFBCr1X8320JEcsQ=</DigestValue>
      </Reference>
      <Reference URI="/xl/printerSettings/printerSettings22.bin?ContentType=application/vnd.openxmlformats-officedocument.spreadsheetml.printerSettings">
        <DigestMethod Algorithm="http://www.w3.org/2001/04/xmlenc#sha256"/>
        <DigestValue>iE26OokMEnQMYiWgMfFhVXzSbn0Dmk333xx6Y+G1iUw=</DigestValue>
      </Reference>
      <Reference URI="/xl/printerSettings/printerSettings23.bin?ContentType=application/vnd.openxmlformats-officedocument.spreadsheetml.printerSettings">
        <DigestMethod Algorithm="http://www.w3.org/2001/04/xmlenc#sha256"/>
        <DigestValue>nkR1lu9OLM1UMxWiPa7wm3YcnQOlFOICy95qYiodDz0=</DigestValue>
      </Reference>
      <Reference URI="/xl/printerSettings/printerSettings24.bin?ContentType=application/vnd.openxmlformats-officedocument.spreadsheetml.printerSettings">
        <DigestMethod Algorithm="http://www.w3.org/2001/04/xmlenc#sha256"/>
        <DigestValue>2bvX94YA3UVSaKlpfCjo157kRTaGD9ZFW7t96/Nk1uk=</DigestValue>
      </Reference>
      <Reference URI="/xl/printerSettings/printerSettings25.bin?ContentType=application/vnd.openxmlformats-officedocument.spreadsheetml.printerSettings">
        <DigestMethod Algorithm="http://www.w3.org/2001/04/xmlenc#sha256"/>
        <DigestValue>SWiohiWSuPjjcblZxueyphOzVidWJvXmdfCiNQW6SiY=</DigestValue>
      </Reference>
      <Reference URI="/xl/printerSettings/printerSettings26.bin?ContentType=application/vnd.openxmlformats-officedocument.spreadsheetml.printerSettings">
        <DigestMethod Algorithm="http://www.w3.org/2001/04/xmlenc#sha256"/>
        <DigestValue>iE26OokMEnQMYiWgMfFhVXzSbn0Dmk333xx6Y+G1iUw=</DigestValue>
      </Reference>
      <Reference URI="/xl/printerSettings/printerSettings27.bin?ContentType=application/vnd.openxmlformats-officedocument.spreadsheetml.printerSettings">
        <DigestMethod Algorithm="http://www.w3.org/2001/04/xmlenc#sha256"/>
        <DigestValue>qqKz7UtelGHdfiWdqNc1EvL8LqlQ7O4MTpeoyQcgyv0=</DigestValue>
      </Reference>
      <Reference URI="/xl/printerSettings/printerSettings28.bin?ContentType=application/vnd.openxmlformats-officedocument.spreadsheetml.printerSettings">
        <DigestMethod Algorithm="http://www.w3.org/2001/04/xmlenc#sha256"/>
        <DigestValue>QwnNNV1TzWHQTxDiUFLob7YPH2oopV/ZpEhX6RxcmB0=</DigestValue>
      </Reference>
      <Reference URI="/xl/printerSettings/printerSettings29.bin?ContentType=application/vnd.openxmlformats-officedocument.spreadsheetml.printerSettings">
        <DigestMethod Algorithm="http://www.w3.org/2001/04/xmlenc#sha256"/>
        <DigestValue>ze+MZOtihPj9dKeV/Dz5QESpeY6Fdwmnkxhrh69STxA=</DigestValue>
      </Reference>
      <Reference URI="/xl/printerSettings/printerSettings3.bin?ContentType=application/vnd.openxmlformats-officedocument.spreadsheetml.printerSettings">
        <DigestMethod Algorithm="http://www.w3.org/2001/04/xmlenc#sha256"/>
        <DigestValue>86+sc8Rko5cNZ5BGa++/4xNznWSElckK3iS1B5pTwDQ=</DigestValue>
      </Reference>
      <Reference URI="/xl/printerSettings/printerSettings4.bin?ContentType=application/vnd.openxmlformats-officedocument.spreadsheetml.printerSettings">
        <DigestMethod Algorithm="http://www.w3.org/2001/04/xmlenc#sha256"/>
        <DigestValue>ze+MZOtihPj9dKeV/Dz5QESpeY6Fdwmnkxhrh69STxA=</DigestValue>
      </Reference>
      <Reference URI="/xl/printerSettings/printerSettings5.bin?ContentType=application/vnd.openxmlformats-officedocument.spreadsheetml.printerSettings">
        <DigestMethod Algorithm="http://www.w3.org/2001/04/xmlenc#sha256"/>
        <DigestValue>ze+MZOtihPj9dKeV/Dz5QESpeY6Fdwmnkxhrh69STxA=</DigestValue>
      </Reference>
      <Reference URI="/xl/printerSettings/printerSettings6.bin?ContentType=application/vnd.openxmlformats-officedocument.spreadsheetml.printerSettings">
        <DigestMethod Algorithm="http://www.w3.org/2001/04/xmlenc#sha256"/>
        <DigestValue>L+CxbXS3yzcVLTJTz50kMb6T4gEHhM4qLfUzzpiwfWw=</DigestValue>
      </Reference>
      <Reference URI="/xl/printerSettings/printerSettings7.bin?ContentType=application/vnd.openxmlformats-officedocument.spreadsheetml.printerSettings">
        <DigestMethod Algorithm="http://www.w3.org/2001/04/xmlenc#sha256"/>
        <DigestValue>9mG81PytrHkYioZI1LP0ksiI7i+szuT1Vsy2GarE5gg=</DigestValue>
      </Reference>
      <Reference URI="/xl/printerSettings/printerSettings8.bin?ContentType=application/vnd.openxmlformats-officedocument.spreadsheetml.printerSettings">
        <DigestMethod Algorithm="http://www.w3.org/2001/04/xmlenc#sha256"/>
        <DigestValue>p15fOjzmBTLGI8Klf+TI4woTVTHX8Q0l14vNf+jwiuE=</DigestValue>
      </Reference>
      <Reference URI="/xl/printerSettings/printerSettings9.bin?ContentType=application/vnd.openxmlformats-officedocument.spreadsheetml.printerSettings">
        <DigestMethod Algorithm="http://www.w3.org/2001/04/xmlenc#sha256"/>
        <DigestValue>p15fOjzmBTLGI8Klf+TI4woTVTHX8Q0l14vNf+jwiuE=</DigestValue>
      </Reference>
      <Reference URI="/xl/sharedStrings.xml?ContentType=application/vnd.openxmlformats-officedocument.spreadsheetml.sharedStrings+xml">
        <DigestMethod Algorithm="http://www.w3.org/2001/04/xmlenc#sha256"/>
        <DigestValue>1qHVSFhYZOGT3L2MGVb7GgmWHgxSmLZ0F7f7h0lVIHw=</DigestValue>
      </Reference>
      <Reference URI="/xl/styles.xml?ContentType=application/vnd.openxmlformats-officedocument.spreadsheetml.styles+xml">
        <DigestMethod Algorithm="http://www.w3.org/2001/04/xmlenc#sha256"/>
        <DigestValue>sc8MG/9LcXeI9r4hwfjbuFFOlOwwzEnunN5Y39isiUc=</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I5wa83lQYqzPRJ9WM4AEKoS7wuCDE3xgtZawB53aVDw=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sBx0b9ghpBgbSA3BdECTuvRo+W0u0qgziEXskoG5SVQ=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QiDCyON6/l/Ti8hBcEpg68sz+6NJGWbPiZMQQy/y0eQ=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rLdvf3yY2ekrKu60idP2MsLKORy6SOjqi0FnsyMynGM=</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HTYaQi0KtdQ+B1oDWji35M/0dutqOPx8jsY1TtQMpYg=</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g+lUxrbi/VMbCtEnyHbMjSNjG5WBw/3Kqb/s9D39uLA=</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k1lyfwqmmD/+IoVTg0kz9LzXUr1Uk3Si/nXVc+rnGMI=</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3BU9j2nE/T0n7gCQLFZTcYggRvLBqeLDRh+2LLtPr1I=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t2ob+cmcZ/9/E0m0dlm+hks73iXEnsIYXXaHseoQAQE=</DigestValue>
      </Reference>
      <Reference URI="/xl/worksheets/sheet10.xml?ContentType=application/vnd.openxmlformats-officedocument.spreadsheetml.worksheet+xml">
        <DigestMethod Algorithm="http://www.w3.org/2001/04/xmlenc#sha256"/>
        <DigestValue>Gm/MjFmzfexo2eiD4MrlQg5HXTDuLoFKPpIevquI7nU=</DigestValue>
      </Reference>
      <Reference URI="/xl/worksheets/sheet11.xml?ContentType=application/vnd.openxmlformats-officedocument.spreadsheetml.worksheet+xml">
        <DigestMethod Algorithm="http://www.w3.org/2001/04/xmlenc#sha256"/>
        <DigestValue>AR+3aRJkgJHmaJ6xmOywTnbvc6O/2GPErDaUA2mbp2M=</DigestValue>
      </Reference>
      <Reference URI="/xl/worksheets/sheet12.xml?ContentType=application/vnd.openxmlformats-officedocument.spreadsheetml.worksheet+xml">
        <DigestMethod Algorithm="http://www.w3.org/2001/04/xmlenc#sha256"/>
        <DigestValue>CcnFUBDVLfBI9ncUEScWd8mjM1SmlrIIJD7OejGEkYs=</DigestValue>
      </Reference>
      <Reference URI="/xl/worksheets/sheet13.xml?ContentType=application/vnd.openxmlformats-officedocument.spreadsheetml.worksheet+xml">
        <DigestMethod Algorithm="http://www.w3.org/2001/04/xmlenc#sha256"/>
        <DigestValue>GrOGpQJJgqRJ89jW1u/V/c1mJOUJ0EXY03U5bQ8wbH4=</DigestValue>
      </Reference>
      <Reference URI="/xl/worksheets/sheet14.xml?ContentType=application/vnd.openxmlformats-officedocument.spreadsheetml.worksheet+xml">
        <DigestMethod Algorithm="http://www.w3.org/2001/04/xmlenc#sha256"/>
        <DigestValue>bbpxesX43b9bZkWP1QErZ6GbDaQ7odD6zmNn5LlvOps=</DigestValue>
      </Reference>
      <Reference URI="/xl/worksheets/sheet15.xml?ContentType=application/vnd.openxmlformats-officedocument.spreadsheetml.worksheet+xml">
        <DigestMethod Algorithm="http://www.w3.org/2001/04/xmlenc#sha256"/>
        <DigestValue>IcGcfQHjzgM+VbIufbTueUIoLqyaWgF0GiQchnyv9so=</DigestValue>
      </Reference>
      <Reference URI="/xl/worksheets/sheet16.xml?ContentType=application/vnd.openxmlformats-officedocument.spreadsheetml.worksheet+xml">
        <DigestMethod Algorithm="http://www.w3.org/2001/04/xmlenc#sha256"/>
        <DigestValue>FTDQTn9i5HmfRZ1hyg0flRWElIp1MokntiB0nZ4S4zo=</DigestValue>
      </Reference>
      <Reference URI="/xl/worksheets/sheet17.xml?ContentType=application/vnd.openxmlformats-officedocument.spreadsheetml.worksheet+xml">
        <DigestMethod Algorithm="http://www.w3.org/2001/04/xmlenc#sha256"/>
        <DigestValue>dnT4e6crr+aVivjCCl3aA5NszR5KkDIZf2K3hJy0CCc=</DigestValue>
      </Reference>
      <Reference URI="/xl/worksheets/sheet18.xml?ContentType=application/vnd.openxmlformats-officedocument.spreadsheetml.worksheet+xml">
        <DigestMethod Algorithm="http://www.w3.org/2001/04/xmlenc#sha256"/>
        <DigestValue>u3jTcfHl0N8OoFXo9LDBULwxViggFQ2jB/Qntjbzi2U=</DigestValue>
      </Reference>
      <Reference URI="/xl/worksheets/sheet19.xml?ContentType=application/vnd.openxmlformats-officedocument.spreadsheetml.worksheet+xml">
        <DigestMethod Algorithm="http://www.w3.org/2001/04/xmlenc#sha256"/>
        <DigestValue>WTO5jowNphqFJ41xCGSgWZRbm1cXSLT1rogiINfzC88=</DigestValue>
      </Reference>
      <Reference URI="/xl/worksheets/sheet2.xml?ContentType=application/vnd.openxmlformats-officedocument.spreadsheetml.worksheet+xml">
        <DigestMethod Algorithm="http://www.w3.org/2001/04/xmlenc#sha256"/>
        <DigestValue>Ay014Vzvc13eUjlPh1uursLEs2FeHRxGj0ngAZMBC74=</DigestValue>
      </Reference>
      <Reference URI="/xl/worksheets/sheet20.xml?ContentType=application/vnd.openxmlformats-officedocument.spreadsheetml.worksheet+xml">
        <DigestMethod Algorithm="http://www.w3.org/2001/04/xmlenc#sha256"/>
        <DigestValue>FMuIvOJTZU/ik28EQbt/zAmdNw3WbIPhuZ8EiiOwK/A=</DigestValue>
      </Reference>
      <Reference URI="/xl/worksheets/sheet21.xml?ContentType=application/vnd.openxmlformats-officedocument.spreadsheetml.worksheet+xml">
        <DigestMethod Algorithm="http://www.w3.org/2001/04/xmlenc#sha256"/>
        <DigestValue>qpsLL0b1XgafkkMfnoEnd1UpeMizvrgL9Myc5eDRhF0=</DigestValue>
      </Reference>
      <Reference URI="/xl/worksheets/sheet22.xml?ContentType=application/vnd.openxmlformats-officedocument.spreadsheetml.worksheet+xml">
        <DigestMethod Algorithm="http://www.w3.org/2001/04/xmlenc#sha256"/>
        <DigestValue>kQ+hG093VmOk1Pi4ZaiOMsBDkbmoh/5VHZLhCtrYCW8=</DigestValue>
      </Reference>
      <Reference URI="/xl/worksheets/sheet23.xml?ContentType=application/vnd.openxmlformats-officedocument.spreadsheetml.worksheet+xml">
        <DigestMethod Algorithm="http://www.w3.org/2001/04/xmlenc#sha256"/>
        <DigestValue>xXQtW/alOYk6qqunTlM9+UN7/iirGTnT/AHEgTHkFso=</DigestValue>
      </Reference>
      <Reference URI="/xl/worksheets/sheet24.xml?ContentType=application/vnd.openxmlformats-officedocument.spreadsheetml.worksheet+xml">
        <DigestMethod Algorithm="http://www.w3.org/2001/04/xmlenc#sha256"/>
        <DigestValue>2AwK8yubhnePa35kZm0dLR426b6TGsmaRFxhQsSysOE=</DigestValue>
      </Reference>
      <Reference URI="/xl/worksheets/sheet25.xml?ContentType=application/vnd.openxmlformats-officedocument.spreadsheetml.worksheet+xml">
        <DigestMethod Algorithm="http://www.w3.org/2001/04/xmlenc#sha256"/>
        <DigestValue>bLJ61PguuySn8pY/5Pm4RUdckpKBEs+98hhrY49y0mk=</DigestValue>
      </Reference>
      <Reference URI="/xl/worksheets/sheet26.xml?ContentType=application/vnd.openxmlformats-officedocument.spreadsheetml.worksheet+xml">
        <DigestMethod Algorithm="http://www.w3.org/2001/04/xmlenc#sha256"/>
        <DigestValue>QQEhtCNJfeQVHvlV3rw7uajewM3hCyFXYbM/+zkHZgM=</DigestValue>
      </Reference>
      <Reference URI="/xl/worksheets/sheet27.xml?ContentType=application/vnd.openxmlformats-officedocument.spreadsheetml.worksheet+xml">
        <DigestMethod Algorithm="http://www.w3.org/2001/04/xmlenc#sha256"/>
        <DigestValue>uHZeqaQA1mdUh8yhrkqMeaCN+WOHcKWZIMNSgrkRFac=</DigestValue>
      </Reference>
      <Reference URI="/xl/worksheets/sheet28.xml?ContentType=application/vnd.openxmlformats-officedocument.spreadsheetml.worksheet+xml">
        <DigestMethod Algorithm="http://www.w3.org/2001/04/xmlenc#sha256"/>
        <DigestValue>QzHBhDt2zJn5y6amPWvQzYo8//QUcYIxYDYLYP2KPcA=</DigestValue>
      </Reference>
      <Reference URI="/xl/worksheets/sheet29.xml?ContentType=application/vnd.openxmlformats-officedocument.spreadsheetml.worksheet+xml">
        <DigestMethod Algorithm="http://www.w3.org/2001/04/xmlenc#sha256"/>
        <DigestValue>nKlei2TqqK/nDE+mYAeG8eWgeP209STpA/L4CY0e5F0=</DigestValue>
      </Reference>
      <Reference URI="/xl/worksheets/sheet3.xml?ContentType=application/vnd.openxmlformats-officedocument.spreadsheetml.worksheet+xml">
        <DigestMethod Algorithm="http://www.w3.org/2001/04/xmlenc#sha256"/>
        <DigestValue>cSKpyEyhxUp8soZDZlOXdcCoi7QbZOZMnSrLbcYjvXg=</DigestValue>
      </Reference>
      <Reference URI="/xl/worksheets/sheet4.xml?ContentType=application/vnd.openxmlformats-officedocument.spreadsheetml.worksheet+xml">
        <DigestMethod Algorithm="http://www.w3.org/2001/04/xmlenc#sha256"/>
        <DigestValue>V0eHVvAODEQSca1SwuI6Fzs17IrWs9IMqUr5Lcy4oMM=</DigestValue>
      </Reference>
      <Reference URI="/xl/worksheets/sheet5.xml?ContentType=application/vnd.openxmlformats-officedocument.spreadsheetml.worksheet+xml">
        <DigestMethod Algorithm="http://www.w3.org/2001/04/xmlenc#sha256"/>
        <DigestValue>rr3DaXcDMD9J3ynS8Un6jnr8GVtYTUri1Oxbs7f63eM=</DigestValue>
      </Reference>
      <Reference URI="/xl/worksheets/sheet6.xml?ContentType=application/vnd.openxmlformats-officedocument.spreadsheetml.worksheet+xml">
        <DigestMethod Algorithm="http://www.w3.org/2001/04/xmlenc#sha256"/>
        <DigestValue>m1CljkPhZZiAaAO2ObI7aigy0PIpC/Z5VVzhfH9vuhU=</DigestValue>
      </Reference>
      <Reference URI="/xl/worksheets/sheet7.xml?ContentType=application/vnd.openxmlformats-officedocument.spreadsheetml.worksheet+xml">
        <DigestMethod Algorithm="http://www.w3.org/2001/04/xmlenc#sha256"/>
        <DigestValue>shJGb6jVWAeJI/Ors3+gYhNHl5K3cSJyLjgIOiB/95s=</DigestValue>
      </Reference>
      <Reference URI="/xl/worksheets/sheet8.xml?ContentType=application/vnd.openxmlformats-officedocument.spreadsheetml.worksheet+xml">
        <DigestMethod Algorithm="http://www.w3.org/2001/04/xmlenc#sha256"/>
        <DigestValue>74qRuFLeroTdNVwb1oWNHigtHtVfPolN1N/j7FIE7Tc=</DigestValue>
      </Reference>
      <Reference URI="/xl/worksheets/sheet9.xml?ContentType=application/vnd.openxmlformats-officedocument.spreadsheetml.worksheet+xml">
        <DigestMethod Algorithm="http://www.w3.org/2001/04/xmlenc#sha256"/>
        <DigestValue>iRikAwW+8JU5tGJUYh4/fOZdZz4Y4gtdGLTBtlFLGwc=</DigestValue>
      </Reference>
    </Manifest>
    <SignatureProperties>
      <SignatureProperty Id="idSignatureTime" Target="#idPackageSignature">
        <mdssi:SignatureTime xmlns:mdssi="http://schemas.openxmlformats.org/package/2006/digital-signature">
          <mdssi:Format>YYYY-MM-DDThh:mm:ssTZD</mdssi:Format>
          <mdssi:Value>2023-08-04T13:27:59Z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16.0.16626/25</OfficeVersion>
          <ApplicationVersion>16.0.16626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2023-08-04T13:27:59Z</xd:SigningTime>
          <xd:SigningCertificate>
            <xd:Cert>
              <xd:CertDigest>
                <DigestMethod Algorithm="http://www.w3.org/2001/04/xmlenc#sha256"/>
                <DigestValue>2JPN8aJN3UeAL51p09x0pEf/Er/85o9Xa620Afc3dZs=</DigestValue>
              </xd:CertDigest>
              <xd:IssuerSerial>
                <X509IssuerName>CN=NBG Class 2 INT Sub CA, DC=nbg, DC=ge</X509IssuerName>
                <X509SerialNumber>327655801520450307241922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gDCCA2igAwIBAgIKYbTEEAAAAAAAoTANBgkqhkiG9w0BAQsFADBHMRIwEAYKCZImiZPyLGQBGRYCZ2UxEzARBgoJkiaJk/IsZAEZFgNuYmcxHDAaBgNVBAMTE05CRyBDbGFzcyAxIFJvb3QgQ0EwHhcNMjEwMzIxMDYzNzI5WhcNMjUxMTI0MjI0OTMzWjBKMRIwEAYKCZImiZPyLGQBGRYCZ2UxEzARBgoJkiaJk/IsZAEZFgNuYmcxHzAdBgNVBAMTFk5CRyBDbGFzcyAyIElOVCBTdWIgQ0EwggEiMA0GCSqGSIb3DQEBAQUAA4IBDwAwggEKAoIBAQCzZc/9jUbS4Uinp9r8TQ9taryMlFEQzOqa5sdTa24xdN4k+ubo6S63dnWGe8dBZecLWY1kSzGBTPyKwZaKihRtlg4jqYqJPpuBh4PA22LaxUV5WJOO6k5gMGVN34DkZ9YVRcSPS7BkkA3FvPd9iW8EknVdRCK3JvfeBZF+eV0MDu3vYOw4OpA+Kx9oQdPT1OKgqrtpV23d4tV667AzNSGVPBnt+EfspbD4hKw1ARpFXwg0a6gtMwtinaBtXOqrpVEUY5oKIiD+lkArl9FuByYxYXttxcYqe2SYnBjKehHoH2BG8QXma8XFUZSs+ipQn6tB7YPjTh0rCHx9bRgcsWBpAgMBAAGjggFpMIIBZTASBgkrBgEEAYI3FQEEBQIDAQADMCMGCSsGAQQBgjcVAgQWBBTr5fKvHKd0Pip0sxFeH2mviCb3KjAdBgNVHQ4EFgQUwy7SL/BMLxnCJ4L89i6sarBJz8EwGQYJKwYBBAGCNxQCBAweCgBTAHUAYgBDAEEwCwYDVR0PBAQDAgGGMA8GA1UdEwEB/wQFMAMBAf8wHwYDVR0jBBgwFoAU6CYsCoPW18Do/q4IevdFE0cp8hkwSQYDVR0fBEIwQDA+oDygOoY4aHR0cDovL2NybC5uYmcuZ292LmdlL2NhL05CRyUyMENsYXNzJTIwMSUyMFJvb3QlMjBDQS5jcmwwZgYIKwYBBQUHAQEEWjBYMFYGCCsGAQUFBzAChkpodHRwOi8vY3JsLm5iZy5nb3YuZ2UvY2EvbmJnLXJvb3RDQS5uYmcuZ2VfTkJHJTIwQ2xhc3MlMjAxJTIwUm9vdCUyMENBLmNydDANBgkqhkiG9w0BAQsFAAOCAQEAAVMBf6sJWsuH4cEqVr/vLVjY4BtCNZ/y45iiB8oesuSBxB8PzpEpauUgkwFcXrqrrGYxmDQVxU1s6hKLYH6xtnGaOPcV5DESkWcnBed7GqXrGcTOF8HFezmDRKDWXhad6pEwxNTk3KfDNQg/Qt7iELbontj9Ao2gIfqi+YVunxXADsO32sqsDz9iw9+3GJsLhWRF/P4d+dVAoT5dY8GAhgjyQTvAo9DxSK895byMVyZzWMWbLMtdCSjuavghy75JIK2OY9TYDoMv4H/fcEysQr14hnKC7oyluRE6UFgiGsWRzCdt3TcI/1BqHKZcFiSKG4gacIF4GyCXHdzd/gYLyQ==</xd:EncapsulatedX509Certificate>
            <xd:EncapsulatedX509Certificate>MIIDfjCCAmagAwIBAgIQWk0Eq2kmi5NMOEEOPGSixjANBgkqhkiG9w0BAQUFADBHMRIwEAYKCZImiZPyLGQBGRYCZ2UxEzARBgoJkiaJk/IsZAEZFgNuYmcxHDAaBgNVBAMTE05CRyBDbGFzcyAxIFJvb3QgQ0EwHhcNMTAxMTI0MjIzOTM0WhcNMjUxMTI0MjI0OTMzWjBHMRIwEAYKCZImiZPyLGQBGRYCZ2UxEzARBgoJkiaJk/IsZAEZFgNuYmcxHDAaBgNVBAMTE05CRyBDbGFzcyAxIFJvb3QgQ0EwggEiMA0GCSqGSIb3DQEBAQUAA4IBDwAwggEKAoIBAQC10LJuvb/cvZzGrHQLwHwBf+8UUxQYtOZKWzNTNgQ6N+4mZ1Z+APzEzWArGAOb+1saGjZxbln1SzXBVWjg9K/YwNojoRUgpMsgwhlfmqNVKTaJh9isLx0V7MNN+/9yZgspe2n/Enga4TaDzPsW9G8cfmTGkE12spVYnphGsz49Nz6mP907sT2efkca9Wgh7lo8UthX5UcpIFbsXa4W53Txg97zyD8nxs701yiZT/2qSPWUaulMG+scanSqnMUb0oifwX6HfpMH20cGs6vUWlZuJkDX3M0XCSMqqnLC3IBQNxkggONyu2Yo63puU5SsTCdsZspgYq3k6o88xB1+53X9AgMBAAGjZjBkMBMGCSsGAQQBgjcUAgQGHgQAQwBBMAsGA1UdDwQEAwIBhjAPBgNVHRMBAf8EBTADAQH/MB0GA1UdDgQWBBToJiwKg9bXwOj+rgh690UTRynyGTAQBgkrBgEEAYI3FQEEAwIBADANBgkqhkiG9w0BAQUFAAOCAQEAWsTvb+7fJL82wQBXrOrRXtBRInSKOve5YoXd43N9iylXSLHndIi5wiWEevExappJOD/d5QakbWAnT05kArleAPtPQYb7zazvnmC48CDFIPocHESAYjUnqixMnHFdpFr0+m1TArbZLVNOG65lc9o1kKSMv7dMlAlbNaL428TEnDK/TmVrLhwzsuhpu5yTscSNiKHVFSGA7N5IMYCU7Q/fPuhlAkoz5lfkJc3pxPXH1Fjjd+KE8PxfNmkpMduZBOJu4Eu7zW5MVyeGzUqGGgqED8VzO+XK7choDlUQz5GPoYBQhJlLzFg8cvNWfgmRNq3zuqoiH/spf7RGQCufR5wJqA==</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SOFP</vt:lpstr>
      <vt:lpstr>3. SOPL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2023-08-02T08:15:56Z</dcterms:created>
  <dcterms:modified xsi:type="dcterms:W3CDTF">2023-08-02T13:17:14Z</dcterms:modified>
</cp:coreProperties>
</file>