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potskhverashvili\Desktop\გამჭვირვალობა ახალი\pilar 3 (new forms)\III q. 2023\Ready for sent\"/>
    </mc:Choice>
  </mc:AlternateContent>
  <xr:revisionPtr revIDLastSave="0" documentId="8_{57D1805C-7958-496C-B3E1-401E56B36872}" xr6:coauthVersionLast="47" xr6:coauthVersionMax="47" xr10:uidLastSave="{00000000-0000-0000-0000-000000000000}"/>
  <bookViews>
    <workbookView xWindow="-108" yWindow="-108" windowWidth="23256" windowHeight="12576" tabRatio="896" firstSheet="21" activeTab="22" xr2:uid="{8B0403F5-CD84-4449-8D8E-62209CA3831A}"/>
  </bookViews>
  <sheets>
    <sheet name="Info" sheetId="1" r:id="rId1"/>
    <sheet name="1. key ratios" sheetId="2" r:id="rId2"/>
    <sheet name="2. SOFP" sheetId="3" r:id="rId3"/>
    <sheet name="3. SOPL" sheetId="4" r:id="rId4"/>
    <sheet name="4. Off-balance" sheetId="5" r:id="rId5"/>
    <sheet name="5. RWA" sheetId="6" r:id="rId6"/>
    <sheet name="6. Administrators-shareholders" sheetId="7" r:id="rId7"/>
    <sheet name="7. LI1" sheetId="8" r:id="rId8"/>
    <sheet name="8. LI2" sheetId="9" r:id="rId9"/>
    <sheet name="9. Capital" sheetId="10" r:id="rId10"/>
    <sheet name="9.1. Capital Requirements" sheetId="11" r:id="rId11"/>
    <sheet name="10. CC2" sheetId="12" r:id="rId12"/>
    <sheet name="11. CRWA" sheetId="13" r:id="rId13"/>
    <sheet name="12. CRM" sheetId="14" r:id="rId14"/>
    <sheet name="13. CRME" sheetId="15" r:id="rId15"/>
    <sheet name="14. LCR" sheetId="16" r:id="rId16"/>
    <sheet name="15. CCR" sheetId="17" r:id="rId17"/>
    <sheet name="15.1. LR" sheetId="18" r:id="rId18"/>
    <sheet name="16. NSFR" sheetId="19" r:id="rId19"/>
    <sheet name=" 17. Residual Maturity" sheetId="20" r:id="rId20"/>
    <sheet name="18. Assets by Exposure classes" sheetId="21" r:id="rId21"/>
    <sheet name="19. Assets by Risk Sectors" sheetId="22" r:id="rId22"/>
    <sheet name="20. Reserves" sheetId="23" r:id="rId23"/>
    <sheet name="21. NPL" sheetId="24" r:id="rId24"/>
    <sheet name="22. Quality" sheetId="25" r:id="rId25"/>
    <sheet name="23. LTV" sheetId="26" r:id="rId26"/>
    <sheet name="24. Risk Sector" sheetId="27" r:id="rId27"/>
    <sheet name="25. Collateral" sheetId="28" r:id="rId28"/>
    <sheet name="26. Retail Products" sheetId="29" r:id="rId29"/>
    <sheet name="Instruction" sheetId="30" r:id="rId30"/>
  </sheets>
  <definedNames>
    <definedName name="_cur1">#REF!</definedName>
    <definedName name="_cur2">#REF!</definedName>
    <definedName name="_xlnm._FilterDatabase" localSheetId="9" hidden="1">'9. Capital'!$A$5:$E$53</definedName>
    <definedName name="_xlnm._FilterDatabase" localSheetId="29" hidden="1">Instruction!$A$106:$C$110</definedName>
    <definedName name="_Key1" hidden="1">#REF!</definedName>
    <definedName name="_Order1" hidden="1">255</definedName>
    <definedName name="_Order2" hidden="1">255</definedName>
    <definedName name="_Parse_In" hidden="1">#REF!</definedName>
    <definedName name="_Sort" hidden="1">#REF!</definedName>
    <definedName name="_sum1">#REF!</definedName>
    <definedName name="_sum2">#REF!</definedName>
    <definedName name="a" hidden="1">#REF!</definedName>
    <definedName name="aaaaaaaaa" hidden="1">#REF!</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acctype">#REF!</definedName>
    <definedName name="ana"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A_Demand_Deposits_Res_Ind">#REF!</definedName>
    <definedName name="BALACC">#REF!</definedName>
    <definedName name="BG_Del" hidden="1">15</definedName>
    <definedName name="BG_Ins" hidden="1">4</definedName>
    <definedName name="BG_Mod" hidden="1">6</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all">#REF!</definedName>
    <definedName name="convert">#REF!</definedName>
    <definedName name="Countries">#REF!</definedName>
    <definedName name="currencies">#REF!</definedName>
    <definedName name="CurrencyCodes">#REF!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dependency">#REF!</definedName>
    <definedName name="dfgdfg">#REF!</definedName>
    <definedName name="dfgh" hidden="1">#REF!</definedName>
    <definedName name="fghgh">#REF!</definedName>
    <definedName name="fintype">#REF!</definedName>
    <definedName name="fvgfbv">#REF!</definedName>
    <definedName name="hjhhjhj">#REF!</definedName>
    <definedName name="jgjhg" hidden="1">#REF!</definedName>
    <definedName name="jgjhg1" hidden="1">#REF!</definedName>
    <definedName name="L_FORMULAS_GEO">#REF!</definedName>
    <definedName name="LDtype">#REF!</definedName>
    <definedName name="NDtype">#REF!</definedName>
    <definedName name="ÓÓÓÓÓÓÓÓ" hidden="1">#REF!</definedName>
    <definedName name="ÓÓÓÓÓÓÓÓÓÓÓÓÓÓÓ" hidden="1">#REF!</definedName>
    <definedName name="Q" hidden="1">#REF!</definedName>
    <definedName name="S">#REF!</definedName>
    <definedName name="sdsss" hidden="1">#REF!</definedName>
    <definedName name="Sheet">#REF!</definedName>
    <definedName name="ss" hidden="1">#REF!</definedName>
    <definedName name="sub">#REF!</definedName>
    <definedName name="TextRefCopyRangeCount" hidden="1">3</definedName>
    <definedName name="v">#REF!</definedName>
    <definedName name="wrn.Aging._.and._.Trend._.Analysis." localSheetId="2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YesNo">#REF!</definedName>
    <definedName name="z">#REF!</definedName>
    <definedName name="ა">#REF!</definedName>
    <definedName name="აა" hidden="1">#REF!</definedName>
    <definedName name="ს" hidden="1">#REF!</definedName>
    <definedName name="საკრედიტო">#REF!</definedName>
    <definedName name="სსს" hidden="1">#REF!</definedName>
    <definedName name="ფაილი">#REF!</definedName>
    <definedName name="ცვლილება_კორექტირება_რეგულაციაში">#REF!</definedName>
    <definedName name="ჯ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29" l="1"/>
  <c r="N20" i="29"/>
  <c r="I20" i="29"/>
  <c r="S23" i="29"/>
  <c r="O23" i="29"/>
  <c r="C2" i="29"/>
  <c r="C1" i="29"/>
  <c r="B2" i="28"/>
  <c r="B1" i="28"/>
  <c r="L33" i="27"/>
  <c r="G33" i="27"/>
  <c r="K33" i="27"/>
  <c r="J33" i="27"/>
  <c r="H33" i="27"/>
  <c r="F33" i="27"/>
  <c r="C32" i="2" s="1"/>
  <c r="E33" i="27"/>
  <c r="D33" i="27"/>
  <c r="C33" i="27"/>
  <c r="B2" i="27"/>
  <c r="B1" i="27"/>
  <c r="C20" i="26"/>
  <c r="C19" i="26"/>
  <c r="C18" i="26"/>
  <c r="S16" i="26"/>
  <c r="R16" i="26"/>
  <c r="O16" i="26"/>
  <c r="N16" i="26"/>
  <c r="K16" i="26"/>
  <c r="J16" i="26"/>
  <c r="G16" i="26"/>
  <c r="F16" i="26"/>
  <c r="C17" i="26"/>
  <c r="Q16" i="26"/>
  <c r="P16" i="26"/>
  <c r="M16" i="26"/>
  <c r="L16" i="26"/>
  <c r="I16" i="26"/>
  <c r="H16" i="26"/>
  <c r="E16" i="26"/>
  <c r="D16" i="26"/>
  <c r="B2" i="26"/>
  <c r="B1" i="26"/>
  <c r="C17" i="25"/>
  <c r="R8" i="25"/>
  <c r="C14" i="25"/>
  <c r="S8" i="25"/>
  <c r="L8" i="25"/>
  <c r="N8" i="25"/>
  <c r="H8" i="25"/>
  <c r="J8" i="25"/>
  <c r="G8" i="25"/>
  <c r="F8" i="25"/>
  <c r="C12" i="25"/>
  <c r="C11" i="25"/>
  <c r="C10" i="25"/>
  <c r="C9" i="25"/>
  <c r="AA8" i="25"/>
  <c r="Z8" i="25"/>
  <c r="Y8" i="25"/>
  <c r="X8" i="25"/>
  <c r="W8" i="25"/>
  <c r="V8" i="25"/>
  <c r="U8" i="25"/>
  <c r="T8" i="25"/>
  <c r="Q8" i="25"/>
  <c r="Q8" i="26" s="1"/>
  <c r="P8" i="25"/>
  <c r="P8" i="26" s="1"/>
  <c r="M8" i="25"/>
  <c r="M8" i="26" s="1"/>
  <c r="I8" i="25"/>
  <c r="I8" i="26" s="1"/>
  <c r="E8" i="25"/>
  <c r="E8" i="26" s="1"/>
  <c r="R3" i="25"/>
  <c r="Q3" i="25"/>
  <c r="B2" i="25"/>
  <c r="B1" i="25"/>
  <c r="C8" i="24"/>
  <c r="B2" i="24"/>
  <c r="B1" i="24"/>
  <c r="C13" i="24"/>
  <c r="C10" i="24" s="1"/>
  <c r="D10" i="23"/>
  <c r="D7" i="23"/>
  <c r="B2" i="23"/>
  <c r="B1" i="23"/>
  <c r="F34" i="22"/>
  <c r="H32" i="22"/>
  <c r="H31" i="22"/>
  <c r="H30" i="22"/>
  <c r="H29" i="22"/>
  <c r="H28" i="22"/>
  <c r="H27" i="22"/>
  <c r="H26" i="22"/>
  <c r="H25" i="22"/>
  <c r="H24" i="22"/>
  <c r="H23" i="22"/>
  <c r="H22" i="22"/>
  <c r="H21" i="22"/>
  <c r="H20" i="22"/>
  <c r="H19" i="22"/>
  <c r="H18" i="22"/>
  <c r="H17" i="22"/>
  <c r="H16" i="22"/>
  <c r="H15" i="22"/>
  <c r="H14" i="22"/>
  <c r="H13" i="22"/>
  <c r="H12" i="22"/>
  <c r="H11" i="22"/>
  <c r="H10" i="22"/>
  <c r="H9" i="22"/>
  <c r="H8" i="22"/>
  <c r="B2" i="22"/>
  <c r="B1" i="22"/>
  <c r="H23" i="21"/>
  <c r="F22" i="21"/>
  <c r="E22" i="21"/>
  <c r="F21" i="21"/>
  <c r="H19" i="21"/>
  <c r="H18" i="21"/>
  <c r="H17" i="21"/>
  <c r="H16" i="21"/>
  <c r="H15" i="21"/>
  <c r="G14" i="21"/>
  <c r="G22" i="21" s="1"/>
  <c r="H14" i="21"/>
  <c r="H12" i="21"/>
  <c r="H11" i="21"/>
  <c r="H10" i="21"/>
  <c r="H9" i="21"/>
  <c r="H8" i="21"/>
  <c r="D21" i="21"/>
  <c r="B2" i="21"/>
  <c r="B1" i="21"/>
  <c r="H14" i="20"/>
  <c r="H20" i="20"/>
  <c r="H19" i="20"/>
  <c r="G22" i="20"/>
  <c r="H18" i="20"/>
  <c r="H16" i="20"/>
  <c r="H12" i="20"/>
  <c r="H11" i="20"/>
  <c r="H10" i="20"/>
  <c r="H9" i="20"/>
  <c r="B2" i="20"/>
  <c r="B1" i="20"/>
  <c r="G36" i="19"/>
  <c r="D33" i="19"/>
  <c r="G34" i="19"/>
  <c r="E33" i="19"/>
  <c r="G31" i="19"/>
  <c r="F24" i="19"/>
  <c r="E24" i="19"/>
  <c r="D24" i="19"/>
  <c r="C24" i="19"/>
  <c r="G19" i="19"/>
  <c r="F18" i="19"/>
  <c r="E18" i="19"/>
  <c r="D18" i="19"/>
  <c r="F14" i="19"/>
  <c r="E14" i="19"/>
  <c r="C14" i="19"/>
  <c r="L13" i="19"/>
  <c r="G13" i="19"/>
  <c r="F11" i="19"/>
  <c r="E11" i="19"/>
  <c r="D11" i="19"/>
  <c r="G10" i="19"/>
  <c r="F8" i="19"/>
  <c r="E8" i="19"/>
  <c r="D8" i="19"/>
  <c r="B2" i="19"/>
  <c r="B1" i="19"/>
  <c r="C26" i="18"/>
  <c r="B2" i="18"/>
  <c r="B1" i="18"/>
  <c r="G21" i="17"/>
  <c r="N20" i="17"/>
  <c r="N19" i="17"/>
  <c r="E19" i="17"/>
  <c r="N18" i="17"/>
  <c r="E18" i="17"/>
  <c r="N17" i="17"/>
  <c r="E17" i="17"/>
  <c r="N16" i="17"/>
  <c r="E16" i="17"/>
  <c r="N15" i="17"/>
  <c r="E15" i="17"/>
  <c r="E14" i="17" s="1"/>
  <c r="M14" i="17"/>
  <c r="L14" i="17"/>
  <c r="K14" i="17"/>
  <c r="J14" i="17"/>
  <c r="I14" i="17"/>
  <c r="H14" i="17"/>
  <c r="G14" i="17"/>
  <c r="F14" i="17"/>
  <c r="C14" i="17"/>
  <c r="N13" i="17"/>
  <c r="N12" i="17"/>
  <c r="E12" i="17"/>
  <c r="N11" i="17"/>
  <c r="E11" i="17"/>
  <c r="N10" i="17"/>
  <c r="E10" i="17"/>
  <c r="N9" i="17"/>
  <c r="E9" i="17"/>
  <c r="M7" i="17"/>
  <c r="L7" i="17"/>
  <c r="L21" i="17" s="1"/>
  <c r="J7" i="17"/>
  <c r="J21" i="17" s="1"/>
  <c r="I7" i="17"/>
  <c r="H7" i="17"/>
  <c r="H21" i="17" s="1"/>
  <c r="G7" i="17"/>
  <c r="F7" i="17"/>
  <c r="F21" i="17" s="1"/>
  <c r="B2" i="17"/>
  <c r="B1" i="17"/>
  <c r="J23" i="16"/>
  <c r="J25" i="16" s="1"/>
  <c r="I23" i="16"/>
  <c r="I25" i="16" s="1"/>
  <c r="G23" i="16"/>
  <c r="G25" i="16" s="1"/>
  <c r="F23" i="16"/>
  <c r="F25" i="16" s="1"/>
  <c r="K21" i="16"/>
  <c r="J21" i="16"/>
  <c r="I21" i="16"/>
  <c r="G21" i="16"/>
  <c r="F21" i="16"/>
  <c r="D21" i="16"/>
  <c r="C21" i="16"/>
  <c r="K20" i="16"/>
  <c r="H20" i="16"/>
  <c r="E20" i="16"/>
  <c r="K19" i="16"/>
  <c r="H19" i="16"/>
  <c r="E19" i="16"/>
  <c r="E21" i="16" s="1"/>
  <c r="K18" i="16"/>
  <c r="H18" i="16"/>
  <c r="E18" i="16"/>
  <c r="J16" i="16"/>
  <c r="I16" i="16"/>
  <c r="G16" i="16"/>
  <c r="F16" i="16"/>
  <c r="D16" i="16"/>
  <c r="C16" i="16"/>
  <c r="K15" i="16"/>
  <c r="H15" i="16"/>
  <c r="E15" i="16"/>
  <c r="K14" i="16"/>
  <c r="H14" i="16"/>
  <c r="E14" i="16"/>
  <c r="K13" i="16"/>
  <c r="H13" i="16"/>
  <c r="E13" i="16"/>
  <c r="K12" i="16"/>
  <c r="H12" i="16"/>
  <c r="E12" i="16"/>
  <c r="K11" i="16"/>
  <c r="H11" i="16"/>
  <c r="E11" i="16"/>
  <c r="K10" i="16"/>
  <c r="H10" i="16"/>
  <c r="E10" i="16"/>
  <c r="K8" i="16"/>
  <c r="K23" i="16" s="1"/>
  <c r="H8" i="16"/>
  <c r="H23" i="16" s="1"/>
  <c r="B2" i="16"/>
  <c r="B1" i="16"/>
  <c r="G22" i="15"/>
  <c r="H21" i="15"/>
  <c r="H20" i="15"/>
  <c r="H19" i="15"/>
  <c r="H18" i="15"/>
  <c r="H17" i="15"/>
  <c r="H16" i="15"/>
  <c r="H15" i="15"/>
  <c r="C22" i="15"/>
  <c r="H14" i="15"/>
  <c r="E22" i="15"/>
  <c r="D22" i="15"/>
  <c r="H13" i="15"/>
  <c r="H12" i="15"/>
  <c r="H11" i="15"/>
  <c r="H10" i="15"/>
  <c r="H9" i="15"/>
  <c r="F22" i="15"/>
  <c r="H8" i="15"/>
  <c r="B2" i="15"/>
  <c r="B1" i="15"/>
  <c r="U21" i="14"/>
  <c r="T21" i="14"/>
  <c r="S21" i="14"/>
  <c r="R21" i="14"/>
  <c r="Q21" i="14"/>
  <c r="P21" i="14"/>
  <c r="O21" i="14"/>
  <c r="N21" i="14"/>
  <c r="M21" i="14"/>
  <c r="L21" i="14"/>
  <c r="K21" i="14"/>
  <c r="J21" i="14"/>
  <c r="I21" i="14"/>
  <c r="H21" i="14"/>
  <c r="G21" i="14"/>
  <c r="F21" i="14"/>
  <c r="E21" i="14"/>
  <c r="D21" i="14"/>
  <c r="C21" i="14"/>
  <c r="V20" i="14"/>
  <c r="V19" i="14"/>
  <c r="V18" i="14"/>
  <c r="V17" i="14"/>
  <c r="V16" i="14"/>
  <c r="V15" i="14"/>
  <c r="V14" i="14"/>
  <c r="V13" i="14"/>
  <c r="V12" i="14"/>
  <c r="V11" i="14"/>
  <c r="V10" i="14"/>
  <c r="V9" i="14"/>
  <c r="V8" i="14"/>
  <c r="V21" i="14" s="1"/>
  <c r="V7" i="14"/>
  <c r="B2" i="14"/>
  <c r="B1" i="14"/>
  <c r="R22" i="13"/>
  <c r="P22" i="13"/>
  <c r="N22" i="13"/>
  <c r="L22" i="13"/>
  <c r="J22" i="13"/>
  <c r="H22" i="13"/>
  <c r="F22" i="13"/>
  <c r="D22" i="13"/>
  <c r="S21" i="13"/>
  <c r="S20" i="13"/>
  <c r="S19" i="13"/>
  <c r="S18" i="13"/>
  <c r="I22" i="13"/>
  <c r="S14" i="13"/>
  <c r="E22" i="13"/>
  <c r="S11" i="13"/>
  <c r="S10" i="13"/>
  <c r="S9" i="13"/>
  <c r="O22" i="13"/>
  <c r="M22" i="13"/>
  <c r="G22" i="13"/>
  <c r="B2" i="13"/>
  <c r="B1" i="13"/>
  <c r="B2" i="12"/>
  <c r="B1" i="12"/>
  <c r="C21" i="11"/>
  <c r="B2" i="11"/>
  <c r="B1" i="11"/>
  <c r="C48" i="10"/>
  <c r="C36" i="10"/>
  <c r="C32" i="10"/>
  <c r="C31" i="10" s="1"/>
  <c r="B2" i="10"/>
  <c r="B1" i="10"/>
  <c r="B2" i="9"/>
  <c r="B1" i="9"/>
  <c r="D31" i="8"/>
  <c r="D25" i="8"/>
  <c r="D20" i="8"/>
  <c r="D16" i="8"/>
  <c r="D8" i="8"/>
  <c r="B2" i="8"/>
  <c r="B1" i="8"/>
  <c r="B2" i="7"/>
  <c r="B1" i="7"/>
  <c r="G6" i="6"/>
  <c r="F6" i="6"/>
  <c r="F13" i="6" s="1"/>
  <c r="E6" i="6"/>
  <c r="D6" i="6"/>
  <c r="E5" i="6"/>
  <c r="B2" i="6"/>
  <c r="F5" i="6" s="1"/>
  <c r="B1" i="6"/>
  <c r="H43" i="5"/>
  <c r="E43" i="5"/>
  <c r="H42" i="5"/>
  <c r="E42" i="5"/>
  <c r="H41" i="5"/>
  <c r="E41" i="5"/>
  <c r="H40" i="5"/>
  <c r="E40" i="5"/>
  <c r="H39" i="5"/>
  <c r="E39" i="5"/>
  <c r="G38" i="5"/>
  <c r="F38" i="5"/>
  <c r="D38" i="5"/>
  <c r="C38" i="5"/>
  <c r="H37" i="5"/>
  <c r="E37" i="5"/>
  <c r="H36" i="5"/>
  <c r="E36" i="5"/>
  <c r="H35" i="5"/>
  <c r="E35" i="5"/>
  <c r="H34" i="5"/>
  <c r="E34" i="5"/>
  <c r="H33" i="5"/>
  <c r="E33" i="5"/>
  <c r="H32" i="5"/>
  <c r="D30" i="5"/>
  <c r="H31" i="5"/>
  <c r="E31" i="5"/>
  <c r="G30" i="5"/>
  <c r="F30" i="5"/>
  <c r="H29" i="5"/>
  <c r="E29" i="5"/>
  <c r="H28" i="5"/>
  <c r="H27" i="5"/>
  <c r="E27" i="5"/>
  <c r="H26" i="5"/>
  <c r="H25" i="5"/>
  <c r="E25" i="5"/>
  <c r="H24" i="5"/>
  <c r="E24" i="5"/>
  <c r="H23" i="5"/>
  <c r="E23" i="5"/>
  <c r="H22" i="5"/>
  <c r="E22" i="5"/>
  <c r="H21" i="5"/>
  <c r="E21" i="5"/>
  <c r="H20" i="5"/>
  <c r="H19" i="5"/>
  <c r="E19" i="5"/>
  <c r="H18" i="5"/>
  <c r="D17" i="5"/>
  <c r="H17" i="5"/>
  <c r="E16" i="5"/>
  <c r="H15" i="5"/>
  <c r="H13" i="5"/>
  <c r="E13" i="5"/>
  <c r="G11" i="5"/>
  <c r="H12" i="5"/>
  <c r="D11" i="5"/>
  <c r="H10" i="5"/>
  <c r="E10" i="5"/>
  <c r="H9" i="5"/>
  <c r="G8" i="5"/>
  <c r="F8" i="5"/>
  <c r="C8" i="5"/>
  <c r="H7" i="5"/>
  <c r="E7" i="5"/>
  <c r="H6" i="5"/>
  <c r="E6" i="5"/>
  <c r="B2" i="5"/>
  <c r="B1" i="5"/>
  <c r="H44" i="4"/>
  <c r="E44" i="4"/>
  <c r="H42" i="4"/>
  <c r="E42" i="4"/>
  <c r="H41" i="4"/>
  <c r="E41" i="4"/>
  <c r="H40" i="4"/>
  <c r="E40" i="4"/>
  <c r="H39" i="4"/>
  <c r="D37" i="4"/>
  <c r="C37" i="4"/>
  <c r="H38" i="4"/>
  <c r="E38" i="4"/>
  <c r="G37" i="4"/>
  <c r="F37" i="4"/>
  <c r="H36" i="4"/>
  <c r="E36" i="4"/>
  <c r="D34" i="4"/>
  <c r="F34" i="4"/>
  <c r="H33" i="4"/>
  <c r="E33" i="4"/>
  <c r="H32" i="4"/>
  <c r="E32" i="4"/>
  <c r="H31" i="4"/>
  <c r="E31" i="4"/>
  <c r="G29" i="4"/>
  <c r="E30" i="4"/>
  <c r="H28" i="4"/>
  <c r="E28" i="4"/>
  <c r="H27" i="4"/>
  <c r="H26" i="4"/>
  <c r="E26" i="4"/>
  <c r="H25" i="4"/>
  <c r="H24" i="4"/>
  <c r="E24" i="4"/>
  <c r="H23" i="4"/>
  <c r="E23" i="4"/>
  <c r="H22" i="4"/>
  <c r="E22" i="4"/>
  <c r="H21" i="4"/>
  <c r="E21" i="4"/>
  <c r="H20" i="4"/>
  <c r="E20" i="4"/>
  <c r="H19" i="4"/>
  <c r="H18" i="4"/>
  <c r="E18" i="4"/>
  <c r="H17" i="4"/>
  <c r="E17" i="4"/>
  <c r="G13" i="4"/>
  <c r="E16" i="4"/>
  <c r="H15" i="4"/>
  <c r="E15" i="4"/>
  <c r="H14" i="4"/>
  <c r="E14" i="4"/>
  <c r="D13" i="4"/>
  <c r="H12" i="4"/>
  <c r="E12" i="4"/>
  <c r="H11" i="4"/>
  <c r="H10" i="4"/>
  <c r="E10" i="4"/>
  <c r="H9" i="4"/>
  <c r="E9" i="4"/>
  <c r="H8" i="4"/>
  <c r="E8" i="4"/>
  <c r="H7" i="4"/>
  <c r="E7" i="4"/>
  <c r="G6" i="4"/>
  <c r="F6" i="4"/>
  <c r="C6" i="4"/>
  <c r="B2" i="4"/>
  <c r="B1" i="4"/>
  <c r="G68" i="3"/>
  <c r="H67" i="3"/>
  <c r="E67" i="3"/>
  <c r="C67" i="12" s="1"/>
  <c r="H66" i="3"/>
  <c r="E66" i="3"/>
  <c r="C66" i="12" s="1"/>
  <c r="H65" i="3"/>
  <c r="E65" i="3"/>
  <c r="C65" i="12" s="1"/>
  <c r="H64" i="3"/>
  <c r="C10" i="10"/>
  <c r="F63" i="3"/>
  <c r="H63" i="3" s="1"/>
  <c r="D63" i="3"/>
  <c r="C63" i="3"/>
  <c r="H62" i="3"/>
  <c r="E62" i="3"/>
  <c r="C62" i="12" s="1"/>
  <c r="H61" i="3"/>
  <c r="E61" i="3"/>
  <c r="C61" i="12" s="1"/>
  <c r="H60" i="3"/>
  <c r="E60" i="3"/>
  <c r="C60" i="12" s="1"/>
  <c r="H59" i="3"/>
  <c r="D59" i="3"/>
  <c r="D68" i="3" s="1"/>
  <c r="C59" i="3"/>
  <c r="E59" i="3" s="1"/>
  <c r="H58" i="3"/>
  <c r="E58" i="3"/>
  <c r="C58" i="12" s="1"/>
  <c r="H57" i="3"/>
  <c r="E57" i="3"/>
  <c r="C57" i="12" s="1"/>
  <c r="H56" i="3"/>
  <c r="E56" i="3"/>
  <c r="C56" i="12" s="1"/>
  <c r="E55" i="3"/>
  <c r="C7" i="10"/>
  <c r="H52" i="3"/>
  <c r="E52" i="3"/>
  <c r="C52" i="12" s="1"/>
  <c r="H51" i="3"/>
  <c r="H50" i="3"/>
  <c r="E50" i="3"/>
  <c r="C49" i="12" s="1"/>
  <c r="H49" i="3"/>
  <c r="E49" i="3"/>
  <c r="C48" i="12" s="1"/>
  <c r="E48" i="3"/>
  <c r="C47" i="12" s="1"/>
  <c r="G47" i="3"/>
  <c r="D47" i="3"/>
  <c r="H46" i="3"/>
  <c r="E46" i="3"/>
  <c r="H45" i="3"/>
  <c r="H44" i="3"/>
  <c r="E44" i="3"/>
  <c r="C43" i="12" s="1"/>
  <c r="H43" i="3"/>
  <c r="D41" i="3"/>
  <c r="F41" i="3"/>
  <c r="H40" i="3"/>
  <c r="E40" i="3"/>
  <c r="C39" i="12" s="1"/>
  <c r="H39" i="3"/>
  <c r="G38" i="3"/>
  <c r="C38" i="3"/>
  <c r="F38" i="3"/>
  <c r="H35" i="3"/>
  <c r="E35" i="3"/>
  <c r="C36" i="8" s="1"/>
  <c r="H34" i="3"/>
  <c r="E34" i="3"/>
  <c r="C35" i="8" s="1"/>
  <c r="H33" i="3"/>
  <c r="E33" i="3"/>
  <c r="H32" i="3"/>
  <c r="E32" i="3"/>
  <c r="C33" i="8" s="1"/>
  <c r="C31" i="12" s="1"/>
  <c r="E31" i="3"/>
  <c r="C32" i="8" s="1"/>
  <c r="C30" i="12" s="1"/>
  <c r="G30" i="3"/>
  <c r="D30" i="3"/>
  <c r="C30" i="3"/>
  <c r="H29" i="3"/>
  <c r="C27" i="3"/>
  <c r="H28" i="3"/>
  <c r="E28" i="3"/>
  <c r="C29" i="8" s="1"/>
  <c r="H27" i="3"/>
  <c r="G27" i="3"/>
  <c r="D27" i="3"/>
  <c r="H26" i="3"/>
  <c r="E26" i="3"/>
  <c r="C27" i="8" s="1"/>
  <c r="E27" i="8" s="1"/>
  <c r="C25" i="12" s="1"/>
  <c r="E25" i="3"/>
  <c r="C26" i="8" s="1"/>
  <c r="G24" i="3"/>
  <c r="D24" i="3"/>
  <c r="C24" i="3"/>
  <c r="H23" i="3"/>
  <c r="H22" i="3"/>
  <c r="E22" i="3"/>
  <c r="C23" i="8" s="1"/>
  <c r="E23" i="8" s="1"/>
  <c r="G19" i="3"/>
  <c r="H21" i="3"/>
  <c r="E20" i="3"/>
  <c r="C21" i="8" s="1"/>
  <c r="E21" i="8" s="1"/>
  <c r="D19" i="3"/>
  <c r="H18" i="3"/>
  <c r="E18" i="3"/>
  <c r="C19" i="8" s="1"/>
  <c r="E19" i="8" s="1"/>
  <c r="C17" i="12" s="1"/>
  <c r="H17" i="3"/>
  <c r="E17" i="3"/>
  <c r="C18" i="8" s="1"/>
  <c r="E18" i="8" s="1"/>
  <c r="C16" i="12" s="1"/>
  <c r="E16" i="3"/>
  <c r="C17" i="8" s="1"/>
  <c r="G15" i="3"/>
  <c r="D15" i="3"/>
  <c r="C15" i="3"/>
  <c r="H14" i="3"/>
  <c r="E14" i="3"/>
  <c r="C15" i="8" s="1"/>
  <c r="E15" i="8" s="1"/>
  <c r="C13" i="12" s="1"/>
  <c r="H13" i="3"/>
  <c r="E13" i="3"/>
  <c r="C14" i="8" s="1"/>
  <c r="E14" i="8" s="1"/>
  <c r="C12" i="12" s="1"/>
  <c r="H12" i="3"/>
  <c r="G11" i="3"/>
  <c r="F11" i="3"/>
  <c r="C11" i="3"/>
  <c r="H10" i="3"/>
  <c r="H9" i="3"/>
  <c r="E9" i="3"/>
  <c r="G7" i="3"/>
  <c r="B2" i="3"/>
  <c r="B1" i="3"/>
  <c r="AE48" i="2"/>
  <c r="AD48" i="2"/>
  <c r="AC48" i="2"/>
  <c r="AB48" i="2"/>
  <c r="V48" i="2"/>
  <c r="U48" i="2"/>
  <c r="T48" i="2"/>
  <c r="S48" i="2"/>
  <c r="AE47" i="2"/>
  <c r="AD47" i="2"/>
  <c r="AC47" i="2"/>
  <c r="AB47" i="2"/>
  <c r="V47" i="2"/>
  <c r="U47" i="2"/>
  <c r="T47" i="2"/>
  <c r="S47" i="2"/>
  <c r="AE46" i="2"/>
  <c r="AD46" i="2"/>
  <c r="AC46" i="2"/>
  <c r="AB46" i="2"/>
  <c r="V46" i="2"/>
  <c r="U46" i="2"/>
  <c r="T46" i="2"/>
  <c r="S46" i="2"/>
  <c r="V45" i="2"/>
  <c r="U45" i="2"/>
  <c r="T45" i="2"/>
  <c r="S45" i="2"/>
  <c r="AE44" i="2"/>
  <c r="AD44" i="2"/>
  <c r="AC44" i="2"/>
  <c r="AB44" i="2"/>
  <c r="V44" i="2"/>
  <c r="U44" i="2"/>
  <c r="T44" i="2"/>
  <c r="S44" i="2"/>
  <c r="AE43" i="2"/>
  <c r="AD43" i="2"/>
  <c r="AC43" i="2"/>
  <c r="AB43" i="2"/>
  <c r="V43" i="2"/>
  <c r="U43" i="2"/>
  <c r="T43" i="2"/>
  <c r="S43" i="2"/>
  <c r="AE42" i="2"/>
  <c r="AD42" i="2"/>
  <c r="AC42" i="2"/>
  <c r="AB42" i="2"/>
  <c r="V42" i="2"/>
  <c r="U42" i="2"/>
  <c r="T42" i="2"/>
  <c r="S42" i="2"/>
  <c r="C42" i="2"/>
  <c r="V41" i="2"/>
  <c r="U41" i="2"/>
  <c r="T41" i="2"/>
  <c r="S41" i="2"/>
  <c r="AE40" i="2"/>
  <c r="AD40" i="2"/>
  <c r="AC40" i="2"/>
  <c r="AB40" i="2"/>
  <c r="V40" i="2"/>
  <c r="U40" i="2"/>
  <c r="T40" i="2"/>
  <c r="S40" i="2"/>
  <c r="AE39" i="2"/>
  <c r="AD39" i="2"/>
  <c r="AC39" i="2"/>
  <c r="AB39" i="2"/>
  <c r="V39" i="2"/>
  <c r="U39" i="2"/>
  <c r="T39" i="2"/>
  <c r="S39" i="2"/>
  <c r="AE38" i="2"/>
  <c r="AD38" i="2"/>
  <c r="AC38" i="2"/>
  <c r="AB38" i="2"/>
  <c r="V38" i="2"/>
  <c r="U38" i="2"/>
  <c r="T38" i="2"/>
  <c r="S38" i="2"/>
  <c r="V37" i="2"/>
  <c r="U37" i="2"/>
  <c r="T37" i="2"/>
  <c r="S37" i="2"/>
  <c r="AE36" i="2"/>
  <c r="AD36" i="2"/>
  <c r="AC36" i="2"/>
  <c r="AB36" i="2"/>
  <c r="V36" i="2"/>
  <c r="U36" i="2"/>
  <c r="T36" i="2"/>
  <c r="S36" i="2"/>
  <c r="AE35" i="2"/>
  <c r="AD35" i="2"/>
  <c r="AC35" i="2"/>
  <c r="AB35" i="2"/>
  <c r="V35" i="2"/>
  <c r="U35" i="2"/>
  <c r="T35" i="2"/>
  <c r="S35" i="2"/>
  <c r="AE34" i="2"/>
  <c r="AD34" i="2"/>
  <c r="AC34" i="2"/>
  <c r="AB34" i="2"/>
  <c r="V34" i="2"/>
  <c r="U34" i="2"/>
  <c r="T34" i="2"/>
  <c r="S34" i="2"/>
  <c r="AE33" i="2"/>
  <c r="AD33" i="2"/>
  <c r="AC33" i="2"/>
  <c r="AB33" i="2"/>
  <c r="V33" i="2"/>
  <c r="U33" i="2"/>
  <c r="T33" i="2"/>
  <c r="S33" i="2"/>
  <c r="AE32" i="2"/>
  <c r="AD32" i="2"/>
  <c r="AC32" i="2"/>
  <c r="AB32" i="2"/>
  <c r="V32" i="2"/>
  <c r="U32" i="2"/>
  <c r="T32" i="2"/>
  <c r="S32" i="2"/>
  <c r="V31" i="2"/>
  <c r="U31" i="2"/>
  <c r="T31" i="2"/>
  <c r="S31" i="2"/>
  <c r="AE30" i="2"/>
  <c r="AD30" i="2"/>
  <c r="AC30" i="2"/>
  <c r="AB30" i="2"/>
  <c r="V30" i="2"/>
  <c r="U30" i="2"/>
  <c r="T30" i="2"/>
  <c r="S30" i="2"/>
  <c r="AE29" i="2"/>
  <c r="AD29" i="2"/>
  <c r="AC29" i="2"/>
  <c r="AB29" i="2"/>
  <c r="V29" i="2"/>
  <c r="U29" i="2"/>
  <c r="T29" i="2"/>
  <c r="S29" i="2"/>
  <c r="AE28" i="2"/>
  <c r="AD28" i="2"/>
  <c r="AC28" i="2"/>
  <c r="AB28" i="2"/>
  <c r="V28" i="2"/>
  <c r="U28" i="2"/>
  <c r="T28" i="2"/>
  <c r="S28" i="2"/>
  <c r="AE27" i="2"/>
  <c r="AD27" i="2"/>
  <c r="AC27" i="2"/>
  <c r="AB27" i="2"/>
  <c r="V27" i="2"/>
  <c r="U27" i="2"/>
  <c r="T27" i="2"/>
  <c r="S27" i="2"/>
  <c r="AE26" i="2"/>
  <c r="AD26" i="2"/>
  <c r="AC26" i="2"/>
  <c r="AB26" i="2"/>
  <c r="V26" i="2"/>
  <c r="U26" i="2"/>
  <c r="T26" i="2"/>
  <c r="S26" i="2"/>
  <c r="AE25" i="2"/>
  <c r="AD25" i="2"/>
  <c r="AC25" i="2"/>
  <c r="AB25" i="2"/>
  <c r="V25" i="2"/>
  <c r="U25" i="2"/>
  <c r="T25" i="2"/>
  <c r="S25" i="2"/>
  <c r="V24" i="2"/>
  <c r="U24" i="2"/>
  <c r="T24" i="2"/>
  <c r="S24" i="2"/>
  <c r="AE23" i="2"/>
  <c r="AD23" i="2"/>
  <c r="AC23" i="2"/>
  <c r="AB23" i="2"/>
  <c r="V23" i="2"/>
  <c r="U23" i="2"/>
  <c r="T23" i="2"/>
  <c r="S23" i="2"/>
  <c r="AE22" i="2"/>
  <c r="AD22" i="2"/>
  <c r="AC22" i="2"/>
  <c r="AB22" i="2"/>
  <c r="V22" i="2"/>
  <c r="U22" i="2"/>
  <c r="T22" i="2"/>
  <c r="S22" i="2"/>
  <c r="AE21" i="2"/>
  <c r="AD21" i="2"/>
  <c r="AC21" i="2"/>
  <c r="AB21" i="2"/>
  <c r="V21" i="2"/>
  <c r="U21" i="2"/>
  <c r="T21" i="2"/>
  <c r="S21" i="2"/>
  <c r="AE20" i="2"/>
  <c r="AD20" i="2"/>
  <c r="AC20" i="2"/>
  <c r="AB20" i="2"/>
  <c r="V20" i="2"/>
  <c r="U20" i="2"/>
  <c r="T20" i="2"/>
  <c r="S20" i="2"/>
  <c r="AE19" i="2"/>
  <c r="AD19" i="2"/>
  <c r="AC19" i="2"/>
  <c r="AB19" i="2"/>
  <c r="V19" i="2"/>
  <c r="U19" i="2"/>
  <c r="T19" i="2"/>
  <c r="S19" i="2"/>
  <c r="AE18" i="2"/>
  <c r="AD18" i="2"/>
  <c r="AC18" i="2"/>
  <c r="AB18" i="2"/>
  <c r="V18" i="2"/>
  <c r="U18" i="2"/>
  <c r="T18" i="2"/>
  <c r="S18" i="2"/>
  <c r="V17" i="2"/>
  <c r="U17" i="2"/>
  <c r="T17" i="2"/>
  <c r="S17" i="2"/>
  <c r="V16" i="2"/>
  <c r="U16" i="2"/>
  <c r="T16" i="2"/>
  <c r="S16" i="2"/>
  <c r="AE15" i="2"/>
  <c r="AD15" i="2"/>
  <c r="AC15" i="2"/>
  <c r="AB15" i="2"/>
  <c r="V15" i="2"/>
  <c r="U15" i="2"/>
  <c r="T15" i="2"/>
  <c r="S15" i="2"/>
  <c r="V14" i="2"/>
  <c r="U14" i="2"/>
  <c r="T14" i="2"/>
  <c r="S14" i="2"/>
  <c r="AE13" i="2"/>
  <c r="AD13" i="2"/>
  <c r="AC13" i="2"/>
  <c r="AB13" i="2"/>
  <c r="V13" i="2"/>
  <c r="U13" i="2"/>
  <c r="T13" i="2"/>
  <c r="S13" i="2"/>
  <c r="AE12" i="2"/>
  <c r="AD12" i="2"/>
  <c r="AC12" i="2"/>
  <c r="AB12" i="2"/>
  <c r="V12" i="2"/>
  <c r="U12" i="2"/>
  <c r="T12" i="2"/>
  <c r="S12" i="2"/>
  <c r="AE11" i="2"/>
  <c r="AD11" i="2"/>
  <c r="AC11" i="2"/>
  <c r="AB11" i="2"/>
  <c r="V11" i="2"/>
  <c r="U11" i="2"/>
  <c r="T11" i="2"/>
  <c r="S11" i="2"/>
  <c r="AE10" i="2"/>
  <c r="AD10" i="2"/>
  <c r="AC10" i="2"/>
  <c r="AB10" i="2"/>
  <c r="V10" i="2"/>
  <c r="U10" i="2"/>
  <c r="T10" i="2"/>
  <c r="S10" i="2"/>
  <c r="AE9" i="2"/>
  <c r="AD9" i="2"/>
  <c r="AC9" i="2"/>
  <c r="AB9" i="2"/>
  <c r="V9" i="2"/>
  <c r="U9" i="2"/>
  <c r="T9" i="2"/>
  <c r="S9" i="2"/>
  <c r="AE8" i="2"/>
  <c r="AD8" i="2"/>
  <c r="AC8" i="2"/>
  <c r="AB8" i="2"/>
  <c r="V8" i="2"/>
  <c r="U8" i="2"/>
  <c r="T8" i="2"/>
  <c r="S8" i="2"/>
  <c r="G5" i="2"/>
  <c r="F5" i="2"/>
  <c r="E5" i="2"/>
  <c r="D5" i="2"/>
  <c r="C5" i="2"/>
  <c r="B1" i="2"/>
  <c r="H11" i="3" l="1"/>
  <c r="F68" i="3"/>
  <c r="H68" i="3" s="1"/>
  <c r="H37" i="4"/>
  <c r="H30" i="5"/>
  <c r="H21" i="16"/>
  <c r="E24" i="3"/>
  <c r="E63" i="3"/>
  <c r="H8" i="5"/>
  <c r="H38" i="5"/>
  <c r="E30" i="3"/>
  <c r="K16" i="16"/>
  <c r="E16" i="16"/>
  <c r="D15" i="23"/>
  <c r="C29" i="12"/>
  <c r="D5" i="6"/>
  <c r="E37" i="4"/>
  <c r="E23" i="3"/>
  <c r="C55" i="12"/>
  <c r="D8" i="5"/>
  <c r="E9" i="5"/>
  <c r="C6" i="6"/>
  <c r="C27" i="12"/>
  <c r="E29" i="8"/>
  <c r="C33" i="12"/>
  <c r="E35" i="8"/>
  <c r="D7" i="3"/>
  <c r="E10" i="3"/>
  <c r="E15" i="3"/>
  <c r="E17" i="8"/>
  <c r="C16" i="8"/>
  <c r="H25" i="3"/>
  <c r="F24" i="3"/>
  <c r="H24" i="3" s="1"/>
  <c r="E27" i="3"/>
  <c r="D38" i="3"/>
  <c r="E39" i="3"/>
  <c r="H42" i="3"/>
  <c r="G41" i="3"/>
  <c r="G53" i="3" s="1"/>
  <c r="G69" i="3" s="1"/>
  <c r="E43" i="3"/>
  <c r="E45" i="3"/>
  <c r="C46" i="12"/>
  <c r="F14" i="5"/>
  <c r="E32" i="5"/>
  <c r="C30" i="5"/>
  <c r="E30" i="5" s="1"/>
  <c r="D13" i="6"/>
  <c r="C10" i="8"/>
  <c r="E10" i="8" s="1"/>
  <c r="C8" i="12" s="1"/>
  <c r="C31" i="8"/>
  <c r="C34" i="8"/>
  <c r="H6" i="4"/>
  <c r="D6" i="4"/>
  <c r="E11" i="4"/>
  <c r="E42" i="3"/>
  <c r="C41" i="3"/>
  <c r="E41" i="3" s="1"/>
  <c r="E19" i="4"/>
  <c r="E25" i="4"/>
  <c r="E27" i="4"/>
  <c r="G34" i="4"/>
  <c r="G43" i="4" s="1"/>
  <c r="G45" i="4" s="1"/>
  <c r="H35" i="4"/>
  <c r="H16" i="5"/>
  <c r="G14" i="5"/>
  <c r="D11" i="3"/>
  <c r="E12" i="3"/>
  <c r="E26" i="8"/>
  <c r="C25" i="8"/>
  <c r="E39" i="4"/>
  <c r="H8" i="3"/>
  <c r="F7" i="3"/>
  <c r="F15" i="3"/>
  <c r="H15" i="3" s="1"/>
  <c r="H16" i="3"/>
  <c r="F19" i="3"/>
  <c r="H19" i="3" s="1"/>
  <c r="H20" i="3"/>
  <c r="F30" i="3"/>
  <c r="H30" i="3" s="1"/>
  <c r="H31" i="3"/>
  <c r="C45" i="12"/>
  <c r="G36" i="3"/>
  <c r="C34" i="12"/>
  <c r="E36" i="8"/>
  <c r="F47" i="3"/>
  <c r="H47" i="3" s="1"/>
  <c r="H48" i="3"/>
  <c r="H16" i="4"/>
  <c r="F13" i="4"/>
  <c r="H13" i="4" s="1"/>
  <c r="D29" i="4"/>
  <c r="H30" i="4"/>
  <c r="F29" i="4"/>
  <c r="H29" i="4" s="1"/>
  <c r="E35" i="4"/>
  <c r="C34" i="4"/>
  <c r="E34" i="4" s="1"/>
  <c r="D14" i="5"/>
  <c r="E15" i="5"/>
  <c r="C28" i="25"/>
  <c r="E32" i="8"/>
  <c r="F11" i="5"/>
  <c r="H11" i="5" s="1"/>
  <c r="E13" i="6"/>
  <c r="E33" i="8"/>
  <c r="C11" i="10"/>
  <c r="C6" i="10" s="1"/>
  <c r="C19" i="11"/>
  <c r="C8" i="18"/>
  <c r="H13" i="20"/>
  <c r="C13" i="10"/>
  <c r="C7" i="3"/>
  <c r="C19" i="3"/>
  <c r="E19" i="3" s="1"/>
  <c r="E29" i="3"/>
  <c r="H55" i="3"/>
  <c r="C59" i="12"/>
  <c r="E64" i="3"/>
  <c r="E8" i="5"/>
  <c r="E20" i="5"/>
  <c r="E28" i="5"/>
  <c r="G13" i="6"/>
  <c r="C42" i="10"/>
  <c r="C20" i="11"/>
  <c r="Q22" i="13"/>
  <c r="E8" i="3"/>
  <c r="C19" i="12"/>
  <c r="E21" i="3"/>
  <c r="C35" i="19"/>
  <c r="H38" i="3"/>
  <c r="C47" i="3"/>
  <c r="E47" i="3" s="1"/>
  <c r="E51" i="3"/>
  <c r="C68" i="3"/>
  <c r="E6" i="4"/>
  <c r="C13" i="4"/>
  <c r="C29" i="4"/>
  <c r="E29" i="4" s="1"/>
  <c r="E12" i="5"/>
  <c r="C11" i="5"/>
  <c r="E11" i="5" s="1"/>
  <c r="E18" i="5"/>
  <c r="C17" i="5"/>
  <c r="E17" i="5" s="1"/>
  <c r="E26" i="5"/>
  <c r="E38" i="5"/>
  <c r="G5" i="6"/>
  <c r="C5" i="6"/>
  <c r="S13" i="13"/>
  <c r="M21" i="17"/>
  <c r="S8" i="13"/>
  <c r="C22" i="13"/>
  <c r="K22" i="13"/>
  <c r="S16" i="13"/>
  <c r="S17" i="13"/>
  <c r="H22" i="15"/>
  <c r="C30" i="18"/>
  <c r="C44" i="10"/>
  <c r="K24" i="16"/>
  <c r="K25" i="16" s="1"/>
  <c r="I21" i="17"/>
  <c r="C11" i="19"/>
  <c r="F22" i="20"/>
  <c r="S15" i="13"/>
  <c r="H8" i="20"/>
  <c r="H15" i="20"/>
  <c r="S12" i="13"/>
  <c r="H16" i="16"/>
  <c r="H24" i="16" s="1"/>
  <c r="C43" i="2" s="1"/>
  <c r="C44" i="2" s="1"/>
  <c r="N14" i="17"/>
  <c r="H17" i="20"/>
  <c r="G15" i="19"/>
  <c r="G26" i="19"/>
  <c r="E22" i="20"/>
  <c r="G12" i="19"/>
  <c r="D22" i="21"/>
  <c r="G8" i="26"/>
  <c r="C15" i="23"/>
  <c r="N8" i="26"/>
  <c r="C18" i="24"/>
  <c r="G23" i="29"/>
  <c r="C33" i="22"/>
  <c r="C34" i="22" s="1"/>
  <c r="E20" i="21"/>
  <c r="E33" i="22" s="1"/>
  <c r="E34" i="22" s="1"/>
  <c r="J8" i="26"/>
  <c r="L8" i="26"/>
  <c r="S8" i="26"/>
  <c r="R8" i="26"/>
  <c r="C16" i="26"/>
  <c r="J23" i="29"/>
  <c r="H7" i="21"/>
  <c r="D33" i="22"/>
  <c r="D34" i="22" s="1"/>
  <c r="G21" i="21"/>
  <c r="F8" i="26"/>
  <c r="H8" i="26"/>
  <c r="K8" i="25"/>
  <c r="O8" i="25"/>
  <c r="I33" i="27"/>
  <c r="L23" i="29"/>
  <c r="N23" i="29"/>
  <c r="H7" i="22"/>
  <c r="F23" i="29"/>
  <c r="K23" i="29"/>
  <c r="P23" i="29"/>
  <c r="K6" i="28"/>
  <c r="L6" i="28" s="1"/>
  <c r="H34" i="4" l="1"/>
  <c r="I23" i="29"/>
  <c r="H20" i="21"/>
  <c r="G24" i="19"/>
  <c r="H25" i="16"/>
  <c r="S22" i="13"/>
  <c r="E13" i="4"/>
  <c r="C51" i="12"/>
  <c r="C22" i="8"/>
  <c r="D27" i="25"/>
  <c r="C27" i="25" s="1"/>
  <c r="E31" i="8"/>
  <c r="F31" i="8" s="1"/>
  <c r="C41" i="12"/>
  <c r="D43" i="4"/>
  <c r="D45" i="4" s="1"/>
  <c r="E34" i="8"/>
  <c r="F34" i="8" s="1"/>
  <c r="C32" i="12"/>
  <c r="H14" i="5"/>
  <c r="D53" i="3"/>
  <c r="D36" i="3"/>
  <c r="C13" i="25"/>
  <c r="D8" i="25"/>
  <c r="O8" i="26"/>
  <c r="H34" i="22"/>
  <c r="G35" i="19"/>
  <c r="G33" i="19" s="1"/>
  <c r="C33" i="19"/>
  <c r="F33" i="19"/>
  <c r="C21" i="20"/>
  <c r="C9" i="8"/>
  <c r="C30" i="8"/>
  <c r="C13" i="8"/>
  <c r="E13" i="8" s="1"/>
  <c r="C11" i="12" s="1"/>
  <c r="C8" i="17"/>
  <c r="C7" i="9"/>
  <c r="C44" i="12"/>
  <c r="C38" i="12"/>
  <c r="E16" i="8"/>
  <c r="F16" i="8" s="1"/>
  <c r="C15" i="12"/>
  <c r="C14" i="12" s="1"/>
  <c r="C13" i="6"/>
  <c r="D20" i="11" s="1"/>
  <c r="K8" i="26"/>
  <c r="E21" i="21"/>
  <c r="G11" i="19"/>
  <c r="G9" i="19"/>
  <c r="G8" i="19" s="1"/>
  <c r="C8" i="19"/>
  <c r="C64" i="12"/>
  <c r="C63" i="12" s="1"/>
  <c r="C68" i="12" s="1"/>
  <c r="C36" i="3"/>
  <c r="E7" i="3"/>
  <c r="F53" i="3"/>
  <c r="H7" i="3"/>
  <c r="F36" i="3"/>
  <c r="H36" i="3" s="1"/>
  <c r="E11" i="3"/>
  <c r="D16" i="19"/>
  <c r="C42" i="12"/>
  <c r="H41" i="3"/>
  <c r="E38" i="3"/>
  <c r="C24" i="8"/>
  <c r="E24" i="8" s="1"/>
  <c r="Q23" i="29"/>
  <c r="C22" i="21"/>
  <c r="H22" i="21" s="1"/>
  <c r="H13" i="21"/>
  <c r="C21" i="21"/>
  <c r="H33" i="22"/>
  <c r="C53" i="10"/>
  <c r="E68" i="3"/>
  <c r="C14" i="5"/>
  <c r="E14" i="5" s="1"/>
  <c r="K8" i="28"/>
  <c r="C43" i="4"/>
  <c r="C24" i="12"/>
  <c r="C23" i="12" s="1"/>
  <c r="E25" i="8"/>
  <c r="F25" i="8" s="1"/>
  <c r="F43" i="4"/>
  <c r="C11" i="8"/>
  <c r="E11" i="8" s="1"/>
  <c r="C9" i="12" s="1"/>
  <c r="C53" i="3"/>
  <c r="C28" i="12" l="1"/>
  <c r="C26" i="12" s="1"/>
  <c r="D30" i="8"/>
  <c r="D28" i="8" s="1"/>
  <c r="D37" i="8" s="1"/>
  <c r="E30" i="8"/>
  <c r="E28" i="8" s="1"/>
  <c r="C28" i="8"/>
  <c r="E9" i="8"/>
  <c r="C8" i="8"/>
  <c r="D69" i="3"/>
  <c r="C40" i="12"/>
  <c r="C37" i="12"/>
  <c r="D14" i="19"/>
  <c r="G16" i="19"/>
  <c r="H53" i="3"/>
  <c r="F69" i="3"/>
  <c r="H69" i="3" s="1"/>
  <c r="H21" i="20"/>
  <c r="C22" i="20"/>
  <c r="D22" i="20"/>
  <c r="C20" i="12"/>
  <c r="C18" i="12" s="1"/>
  <c r="E22" i="8"/>
  <c r="E20" i="8" s="1"/>
  <c r="F20" i="8" s="1"/>
  <c r="C20" i="8"/>
  <c r="H21" i="21"/>
  <c r="F24" i="8"/>
  <c r="C22" i="12"/>
  <c r="C12" i="8"/>
  <c r="E12" i="8" s="1"/>
  <c r="C10" i="9"/>
  <c r="C11" i="9"/>
  <c r="D19" i="11"/>
  <c r="G37" i="19"/>
  <c r="C47" i="2" s="1"/>
  <c r="E43" i="4"/>
  <c r="C45" i="4"/>
  <c r="C69" i="3"/>
  <c r="E53" i="3"/>
  <c r="F45" i="4"/>
  <c r="H45" i="4" s="1"/>
  <c r="H43" i="4"/>
  <c r="E36" i="3"/>
  <c r="D12" i="11"/>
  <c r="D15" i="11"/>
  <c r="D13" i="11"/>
  <c r="D11" i="11"/>
  <c r="D9" i="11"/>
  <c r="D17" i="11"/>
  <c r="D7" i="11"/>
  <c r="D21" i="11"/>
  <c r="D16" i="11"/>
  <c r="D8" i="11"/>
  <c r="E8" i="17"/>
  <c r="C7" i="17"/>
  <c r="D8" i="26"/>
  <c r="C8" i="25"/>
  <c r="C53" i="12" l="1"/>
  <c r="C69" i="12" s="1"/>
  <c r="C10" i="12"/>
  <c r="F12" i="8"/>
  <c r="E69" i="3"/>
  <c r="H22" i="20"/>
  <c r="E7" i="17"/>
  <c r="K8" i="17"/>
  <c r="C18" i="19"/>
  <c r="G20" i="19"/>
  <c r="G18" i="19" s="1"/>
  <c r="C37" i="8"/>
  <c r="G14" i="19"/>
  <c r="F28" i="8"/>
  <c r="C15" i="10"/>
  <c r="C8" i="26"/>
  <c r="C21" i="17"/>
  <c r="E45" i="4"/>
  <c r="C7" i="12"/>
  <c r="C6" i="12" s="1"/>
  <c r="C35" i="12" s="1"/>
  <c r="E8" i="8"/>
  <c r="F8" i="8" l="1"/>
  <c r="E37" i="8"/>
  <c r="G21" i="19"/>
  <c r="C12" i="10"/>
  <c r="N8" i="17"/>
  <c r="K7" i="17"/>
  <c r="E21" i="17"/>
  <c r="K21" i="17" l="1"/>
  <c r="G39" i="19"/>
  <c r="C46" i="2"/>
  <c r="C48" i="2" s="1"/>
  <c r="C29" i="10"/>
  <c r="N7" i="17"/>
  <c r="C5" i="9"/>
  <c r="C12" i="18"/>
  <c r="E23" i="17"/>
  <c r="C9" i="2" l="1"/>
  <c r="C8" i="2"/>
  <c r="C18" i="2" s="1"/>
  <c r="C10" i="2"/>
  <c r="C20" i="2" s="1"/>
  <c r="C18" i="18"/>
  <c r="C8" i="9"/>
  <c r="C13" i="9" s="1"/>
  <c r="N21" i="17"/>
  <c r="C36" i="18" l="1"/>
  <c r="C19" i="2"/>
  <c r="C35" i="18"/>
  <c r="C38" i="18" l="1"/>
</calcChain>
</file>

<file path=xl/sharedStrings.xml><?xml version="1.0" encoding="utf-8"?>
<sst xmlns="http://schemas.openxmlformats.org/spreadsheetml/2006/main" count="1620" uniqueCount="1019">
  <si>
    <t>პილარ 3-ის კვარტალური ანგარიშგება</t>
  </si>
  <si>
    <t>ბანკის სრული დასახელება</t>
  </si>
  <si>
    <t>სს სილქ ბანკი</t>
  </si>
  <si>
    <t>ბანკის სამეთვალყურეო საბჭოს თავმჯდომარე</t>
  </si>
  <si>
    <t>ი. მანაგაძე</t>
  </si>
  <si>
    <t>ბანკის გენერალური დირექტორი</t>
  </si>
  <si>
    <t>ა.ხოროშვილი</t>
  </si>
  <si>
    <t>ბანკის ვებ-გვერდი</t>
  </si>
  <si>
    <t>www.silkbank.ge</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</si>
  <si>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</si>
  <si>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</si>
  <si>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</si>
  <si>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ძირითადი მაჩვენებლები</t>
  </si>
  <si>
    <t>საბალანსო უწყისი</t>
  </si>
  <si>
    <t>მოგება-ზარალის ანგარიშგება</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</si>
  <si>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</si>
  <si>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</si>
  <si>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</si>
  <si>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</si>
  <si>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</si>
  <si>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საზედამხედველო კაპიტალი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</si>
  <si>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</si>
  <si>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</si>
  <si>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</si>
  <si>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</si>
  <si>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</si>
  <si>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</si>
  <si>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</si>
  <si>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</si>
  <si>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</si>
  <si>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წმინდა სტაბილური დაფინანსების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</si>
  <si>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</si>
  <si>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</si>
  <si>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</si>
  <si>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</si>
  <si>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</si>
  <si>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</si>
  <si>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</si>
  <si>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</si>
  <si>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</si>
  <si>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</si>
  <si>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ბანკი:</t>
  </si>
  <si>
    <t>თარიღი:</t>
  </si>
  <si>
    <t>Previous Q pillar</t>
  </si>
  <si>
    <t>ცხრილი 1</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</si>
  <si>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</si>
  <si>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</si>
  <si>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N</t>
  </si>
  <si>
    <t>4Q-2022</t>
  </si>
  <si>
    <t>3Q-2022</t>
  </si>
  <si>
    <t>2Q-2022</t>
  </si>
  <si>
    <t>1Q-2022</t>
  </si>
  <si>
    <t>4Q 2022</t>
  </si>
  <si>
    <t>3Q 2022</t>
  </si>
  <si>
    <t>2Q 2022</t>
  </si>
  <si>
    <t>1Q 2022</t>
  </si>
  <si>
    <t>2Q-2023</t>
  </si>
  <si>
    <t>1Q-2023</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</si>
  <si>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</si>
  <si>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</si>
  <si>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</si>
  <si>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</si>
  <si>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</si>
  <si>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</si>
  <si>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</si>
  <si>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</si>
  <si>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</si>
  <si>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</si>
  <si>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</si>
  <si>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</si>
  <si>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</si>
  <si>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</si>
  <si>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</si>
  <si>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</si>
  <si>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</si>
  <si>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</si>
  <si>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</si>
  <si>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</si>
  <si>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</si>
  <si>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</si>
  <si>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</si>
  <si>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</si>
  <si>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</si>
  <si>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</si>
  <si>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</si>
  <si>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</si>
  <si>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</si>
  <si>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</si>
  <si>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</si>
  <si>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</si>
  <si>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</si>
  <si>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</si>
  <si>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</si>
  <si>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</si>
  <si>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</si>
  <si>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</si>
  <si>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</si>
  <si>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</si>
  <si>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ფინანსური მდგომარეობის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</si>
  <si>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</si>
  <si>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</si>
  <si>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</si>
  <si>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</si>
  <si>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</si>
  <si>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</si>
  <si>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</si>
  <si>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</si>
  <si>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</si>
  <si>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</si>
  <si>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</si>
  <si>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</si>
  <si>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</si>
  <si>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</si>
  <si>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</si>
  <si>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</si>
  <si>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</si>
  <si>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</si>
  <si>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</si>
  <si>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</si>
  <si>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</si>
  <si>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</si>
  <si>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</si>
  <si>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</si>
  <si>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</si>
  <si>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</si>
  <si>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</si>
  <si>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</si>
  <si>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</si>
  <si>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</si>
  <si>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სხვა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</si>
  <si>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</si>
  <si>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</si>
  <si>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</si>
  <si>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</si>
  <si>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</si>
  <si>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</si>
  <si>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</si>
  <si>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</si>
  <si>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</si>
  <si>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</si>
  <si>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</si>
  <si>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</si>
  <si>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</si>
  <si>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</si>
  <si>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</si>
  <si>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</si>
  <si>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</si>
  <si>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</si>
  <si>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</si>
  <si>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</si>
  <si>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</si>
  <si>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</si>
  <si>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</si>
  <si>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</si>
  <si>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</si>
  <si>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</si>
  <si>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</si>
  <si>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</si>
  <si>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</si>
  <si>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</si>
  <si>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</si>
  <si>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</si>
  <si>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</si>
  <si>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</si>
  <si>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</si>
  <si>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</si>
  <si>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</si>
  <si>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</si>
  <si>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</si>
  <si>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</si>
  <si>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</si>
  <si>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</si>
  <si>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</si>
  <si>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</si>
  <si>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</si>
  <si>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</si>
  <si>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</si>
  <si>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</si>
  <si>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</si>
  <si>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</si>
  <si>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</si>
  <si>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</si>
  <si>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</si>
  <si>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</si>
  <si>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</si>
  <si>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</si>
  <si>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</si>
  <si>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</si>
  <si>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</si>
  <si>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</si>
  <si>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</si>
  <si>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</si>
  <si>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</si>
  <si>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</si>
  <si>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</si>
  <si>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</si>
  <si>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</si>
  <si>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</si>
  <si>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</si>
  <si>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</si>
  <si>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</si>
  <si>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</si>
  <si>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</si>
  <si>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</si>
  <si>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</si>
  <si>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</si>
  <si>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</si>
  <si>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</si>
  <si>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</si>
  <si>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</si>
  <si>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</si>
  <si>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</si>
  <si>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</si>
  <si>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</si>
  <si>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</si>
  <si>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</si>
  <si>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</si>
  <si>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</si>
  <si>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</si>
  <si>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</si>
  <si>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</si>
  <si>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</si>
  <si>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</si>
  <si>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სხვა</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</si>
  <si>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</si>
  <si>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</si>
  <si>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</si>
  <si>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</si>
  <si>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</si>
  <si>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</si>
  <si>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</si>
  <si>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</si>
  <si>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</si>
  <si>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</si>
  <si>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</si>
  <si>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</si>
  <si>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</si>
  <si>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</si>
  <si>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</si>
  <si>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</si>
  <si>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</si>
  <si>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</si>
  <si>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</si>
  <si>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</si>
  <si>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5</t>
  </si>
  <si>
    <t>ლარებით</t>
  </si>
  <si>
    <t>საკრედიტო რისკი მიხედვით შეწონილი რისკის პოზიციები</t>
  </si>
  <si>
    <t>საბალანსო ელემენტები*</t>
  </si>
  <si>
    <t>1.1.1</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</si>
  <si>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</si>
  <si>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</si>
  <si>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</si>
  <si>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</si>
  <si>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</si>
  <si>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</si>
  <si>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ცხრილი 6</t>
  </si>
  <si>
    <t>სამეთვალყურეო საბჭოს შემადგენლობა</t>
  </si>
  <si>
    <t>დამოუკიდებლობის სტატუსი</t>
  </si>
  <si>
    <t>ირაკლი მანაგაძე</t>
  </si>
  <si>
    <t>დამოუკიდებელი თავმჯდომარე</t>
  </si>
  <si>
    <t>ვასილ კენკიშვილი</t>
  </si>
  <si>
    <t>არადამოუკიდებელ წევრი</t>
  </si>
  <si>
    <t>მამუკა შურღაია</t>
  </si>
  <si>
    <t>დევიდ ფრანც ბორგერი, /გერმანია/</t>
  </si>
  <si>
    <t>მზია ქოქუაშვილი</t>
  </si>
  <si>
    <t>დამოუკიდებელი წევრი</t>
  </si>
  <si>
    <t>ნანა ჩხობაძე</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</si>
  <si>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</si>
  <si>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</si>
  <si>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ალექსი ხოროშვილი</t>
  </si>
  <si>
    <t>გენერალური დირექტორი</t>
  </si>
  <si>
    <t>არჩილ ლურსმანაშვილი</t>
  </si>
  <si>
    <t>გენერალური დირექტორის პირველი მოადგილე</t>
  </si>
  <si>
    <t>გიორგი ღიბრაძე</t>
  </si>
  <si>
    <t>იურიდიული დირექტორი</t>
  </si>
  <si>
    <t>ნათია მერაბიშვილი</t>
  </si>
  <si>
    <t>ოპერაციების მართვის დირექტორი</t>
  </si>
  <si>
    <t>ირაკლი ბენდელიანი</t>
  </si>
  <si>
    <t>ინფორმაციული ტექნოლოგიების დირექტორი</t>
  </si>
  <si>
    <t>გიორგი კალოიანი</t>
  </si>
  <si>
    <t>რისკების დირექტორი</t>
  </si>
  <si>
    <t>კახა ბასიაშვილი</t>
  </si>
  <si>
    <t>რისკების დირექტორის მოადგილე</t>
  </si>
  <si>
    <t>დავით ნინიძე</t>
  </si>
  <si>
    <t>პროდუქტებისა და ინოვაციების დირექტორი</t>
  </si>
  <si>
    <t>საწესდებო კაპიტალის 1% და მეტი წილის მფლობელი აქციონერების ჩამონათვალი წილების მითითებით</t>
  </si>
  <si>
    <t>სილქ როუდ გრუპ ჰოლდინგ (მალტა) ლიმიტედ, მალტა</t>
  </si>
  <si>
    <t>შპს პარტომტა</t>
  </si>
  <si>
    <t>სს სილქ ჰოლდინგი</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</si>
  <si>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</si>
  <si>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გიორგი რამიშვილი</t>
  </si>
  <si>
    <t>ალექსი თოფურია</t>
  </si>
  <si>
    <t>დევიდ ფრანც ბორგერი, გერმანია</t>
  </si>
  <si>
    <t>აქციებით შეზღუდული კერძო კომპანია ბრეიტენბერგ პრაივიტ ლიმიტედ, სინგაპური</t>
  </si>
  <si>
    <t>2.1.1</t>
  </si>
  <si>
    <t xml:space="preserve"> ერკინ ტატიშევი, ყაზახეთი</t>
  </si>
  <si>
    <t>ცხრილი 7</t>
  </si>
  <si>
    <t>a</t>
  </si>
  <si>
    <t>b</t>
  </si>
  <si>
    <t>c</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</si>
  <si>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</si>
  <si>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</si>
  <si>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</si>
  <si>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</si>
  <si>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</si>
  <si>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</si>
  <si>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</si>
  <si>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</si>
  <si>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</si>
  <si>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</si>
  <si>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</si>
  <si>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</si>
  <si>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</si>
  <si>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</si>
  <si>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</si>
  <si>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</si>
  <si>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</si>
  <si>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</si>
  <si>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</si>
  <si>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</si>
  <si>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</si>
  <si>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</si>
  <si>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</si>
  <si>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</si>
  <si>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</si>
  <si>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</si>
  <si>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</si>
  <si>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</si>
  <si>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</si>
  <si>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</si>
  <si>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</si>
  <si>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</si>
  <si>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</si>
  <si>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</si>
  <si>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</si>
  <si>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</si>
  <si>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</si>
  <si>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</si>
  <si>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</si>
  <si>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</si>
  <si>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</si>
  <si>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</si>
  <si>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</si>
  <si>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</si>
  <si>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</si>
  <si>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</si>
  <si>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</si>
  <si>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</si>
  <si>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</si>
  <si>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</si>
  <si>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</si>
  <si>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</si>
  <si>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</si>
  <si>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</si>
  <si>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</si>
  <si>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</si>
  <si>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</si>
  <si>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</si>
  <si>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</si>
  <si>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</si>
  <si>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</si>
  <si>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</si>
  <si>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</si>
  <si>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</si>
  <si>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</si>
  <si>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</si>
  <si>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</si>
  <si>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</si>
  <si>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</si>
  <si>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</si>
  <si>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</si>
  <si>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</si>
  <si>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</si>
  <si>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</si>
  <si>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</si>
  <si>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</si>
  <si>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</si>
  <si>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</si>
  <si>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</si>
  <si>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</si>
  <si>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</si>
  <si>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</si>
  <si>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</si>
  <si>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</si>
  <si>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</si>
  <si>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</si>
  <si>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</si>
  <si>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</si>
  <si>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</si>
  <si>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6</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</si>
  <si>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</si>
  <si>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</si>
  <si>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</si>
  <si>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</si>
  <si>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</si>
  <si>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მ.შ. სუბორდინირებული ვალდებულებების საკონტრაქტო ღირებულება</t>
  </si>
  <si>
    <t xml:space="preserve"> ცხრილი 9 (Capital), N38</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</si>
  <si>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</si>
  <si>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</si>
  <si>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d</t>
  </si>
  <si>
    <t>e</t>
  </si>
  <si>
    <t>f</t>
  </si>
  <si>
    <t>g</t>
  </si>
  <si>
    <t>h</t>
  </si>
  <si>
    <t>i</t>
  </si>
  <si>
    <t>j</t>
  </si>
  <si>
    <t>k</t>
  </si>
  <si>
    <t>l</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</si>
  <si>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</si>
  <si>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</si>
  <si>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</si>
  <si>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</si>
  <si>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</si>
  <si>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</si>
  <si>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</si>
  <si>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</si>
  <si>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</si>
  <si>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</si>
  <si>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</si>
  <si>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</si>
  <si>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</si>
  <si>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</si>
  <si>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</si>
  <si>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</si>
  <si>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</si>
  <si>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</si>
  <si>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</si>
  <si>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</si>
  <si>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</si>
  <si>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</si>
  <si>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</si>
  <si>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</si>
  <si>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</si>
  <si>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</si>
  <si>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</si>
  <si>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</si>
  <si>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</si>
  <si>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</si>
  <si>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</si>
  <si>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</si>
  <si>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</si>
  <si>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</si>
  <si>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</si>
  <si>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</si>
  <si>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</si>
  <si>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</si>
  <si>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</si>
  <si>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</si>
  <si>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</si>
  <si>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</si>
  <si>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</si>
  <si>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</si>
  <si>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</si>
  <si>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</si>
  <si>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</si>
  <si>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</si>
  <si>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</si>
  <si>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</si>
  <si>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</si>
  <si>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</si>
  <si>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</si>
  <si>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</si>
  <si>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</si>
  <si>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</si>
  <si>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</si>
  <si>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</si>
  <si>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</si>
  <si>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</si>
  <si>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</si>
  <si>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</si>
  <si>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</si>
  <si>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</si>
  <si>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</si>
  <si>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</si>
  <si>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</si>
  <si>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</si>
  <si>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</si>
  <si>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</si>
  <si>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</si>
  <si>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</si>
  <si>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</si>
  <si>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</si>
  <si>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</si>
  <si>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</si>
  <si>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</si>
  <si>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</si>
  <si>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</si>
  <si>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15</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</si>
  <si>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</si>
  <si>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</si>
  <si>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</si>
  <si>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</si>
  <si>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</si>
  <si>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</si>
  <si>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</si>
  <si>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</si>
  <si>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</si>
  <si>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</si>
  <si>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</si>
  <si>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</si>
  <si>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</si>
  <si>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</si>
  <si>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</si>
  <si>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</si>
  <si>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</si>
  <si>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</si>
  <si>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</si>
  <si>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</si>
  <si>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</si>
  <si>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</si>
  <si>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</si>
  <si>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</si>
  <si>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</si>
  <si>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</si>
  <si>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</si>
  <si>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</si>
  <si>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</si>
  <si>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</si>
  <si>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</si>
  <si>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</si>
  <si>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</si>
  <si>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</si>
  <si>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</si>
  <si>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</si>
  <si>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</si>
  <si>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</si>
  <si>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</si>
  <si>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</si>
  <si>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</si>
  <si>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</si>
  <si>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</si>
  <si>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</si>
  <si>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</si>
  <si>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</si>
  <si>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</si>
  <si>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</si>
  <si>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</si>
  <si>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</si>
  <si>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</si>
  <si>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</si>
  <si>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</si>
  <si>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</si>
  <si>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</si>
  <si>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</si>
  <si>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</si>
  <si>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</si>
  <si>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</si>
  <si>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</si>
  <si>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</si>
  <si>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</si>
  <si>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</si>
  <si>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</si>
  <si>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</si>
  <si>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</si>
  <si>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</si>
  <si>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</si>
  <si>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</si>
  <si>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</si>
  <si>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</si>
  <si>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</si>
  <si>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</si>
  <si>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</si>
  <si>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</si>
  <si>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</si>
  <si>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</si>
  <si>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</si>
  <si>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</si>
  <si>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</si>
  <si>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</si>
  <si>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</si>
  <si>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</si>
  <si>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</si>
  <si>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</si>
  <si>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</si>
  <si>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</si>
  <si>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</si>
  <si>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</si>
  <si>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</si>
  <si>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</si>
  <si>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</si>
  <si>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</si>
  <si>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</si>
  <si>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</si>
  <si>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18</t>
  </si>
  <si>
    <t>ა</t>
  </si>
  <si>
    <t>ბ</t>
  </si>
  <si>
    <t>გ</t>
  </si>
  <si>
    <t>დ</t>
  </si>
  <si>
    <t>ე</t>
  </si>
  <si>
    <t>ვ</t>
  </si>
  <si>
    <t xml:space="preserve">                                                                             საბალანსო აქტივები                                                                                                         
                                                                                                                                                                                                                                                                                                            რისკის კლასები</t>
  </si>
  <si>
    <t>მთლიანი ღირებულება</t>
  </si>
  <si>
    <t>მოსალოდნელი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</si>
  <si>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</si>
  <si>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</si>
  <si>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</si>
  <si>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</si>
  <si>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</si>
  <si>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</si>
  <si>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მათ შორის: სესხები</t>
  </si>
  <si>
    <t>მათ შორის: სავალო ფასიანი ქაღალდები</t>
  </si>
  <si>
    <t>ცხრილი 19</t>
  </si>
  <si>
    <t xml:space="preserve">                                                                               საბალანსო აქტივები
                                                                                                                                                                                                             სექტორი დაფარვის წყაროს/კონტრაგენტის ტიპის მიხედვით</t>
  </si>
  <si>
    <t>მოსალოდენელი საკრედიტო ზარალი</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</si>
  <si>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</si>
  <si>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</si>
  <si>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</si>
  <si>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</si>
  <si>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</si>
  <si>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</si>
  <si>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სამომხმარებლო სესხები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</si>
  <si>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</si>
  <si>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</si>
  <si>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</si>
  <si>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</si>
  <si>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</si>
  <si>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</si>
  <si>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</si>
  <si>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</si>
  <si>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</si>
  <si>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</si>
  <si>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 სადგურებსა და ბენზინის იმპორტიორებზე გაცემული სესხები</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</si>
  <si>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</si>
  <si>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</si>
  <si>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</si>
  <si>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</si>
  <si>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</si>
  <si>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</si>
  <si>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</si>
  <si>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</si>
  <si>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 xml:space="preserve">აქტივები, რომლებზეც არ არის აღრიცხული დაფარვის წყაროს სექტორი </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</si>
  <si>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</si>
  <si>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</si>
  <si>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</si>
  <si>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</si>
  <si>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</si>
  <si>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</si>
  <si>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</si>
  <si>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</si>
  <si>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</si>
  <si>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</si>
  <si>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</si>
  <si>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</si>
  <si>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</si>
  <si>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</si>
  <si>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</si>
  <si>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</si>
  <si>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</si>
  <si>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</si>
  <si>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</si>
  <si>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</si>
  <si>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</si>
  <si>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</si>
  <si>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</si>
  <si>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</si>
  <si>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</si>
  <si>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</si>
  <si>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</si>
  <si>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</si>
  <si>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</si>
  <si>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</si>
  <si>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&lt;=30</t>
  </si>
  <si>
    <t>&lt;90</t>
  </si>
  <si>
    <t>&gt;90</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</si>
  <si>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</si>
  <si>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</si>
  <si>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</si>
  <si>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</si>
  <si>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</si>
  <si>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</si>
  <si>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</si>
  <si>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</si>
  <si>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</si>
  <si>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</si>
  <si>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</si>
  <si>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</si>
  <si>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</si>
  <si>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</si>
  <si>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</si>
  <si>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</si>
  <si>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</si>
  <si>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</si>
  <si>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</si>
  <si>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</si>
  <si>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გარესაბალანსო ვალდებულებები</t>
  </si>
  <si>
    <t>მიკრო სეგმენტი - საცალო</t>
  </si>
  <si>
    <t>მიკრო სეგმენტი - ბიზნესი</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</si>
  <si>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</si>
  <si>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</si>
  <si>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სესხების მთლიანი ღირებულება</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</si>
  <si>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</si>
  <si>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</si>
  <si>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</si>
  <si>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</si>
  <si>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</si>
  <si>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</si>
  <si>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</si>
  <si>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</si>
  <si>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</si>
  <si>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</si>
  <si>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</si>
  <si>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</si>
  <si>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</si>
  <si>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</si>
  <si>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</si>
  <si>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მოსალოდნელი საკრედიტო ზარალი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</si>
  <si>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</si>
  <si>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</si>
  <si>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</si>
  <si>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</si>
  <si>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</si>
  <si>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</si>
  <si>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</si>
  <si>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</si>
  <si>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</si>
  <si>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</si>
  <si>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</si>
  <si>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24</t>
  </si>
  <si>
    <t xml:space="preserve">                                                                                                     სესხები
                                                                                                                                                                                                             სექტორი დაფარვის წყაროს მიხედვით</t>
  </si>
  <si>
    <t>მოსლაოდნელი საკრედიტო ზარალი</t>
  </si>
  <si>
    <t xml:space="preserve">სესხები, რომლებზეც არ არის აღრიცხული დაფარვის წყაროს სექტორი </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</si>
  <si>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</si>
  <si>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</si>
  <si>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</si>
  <si>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</si>
  <si>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</si>
  <si>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</si>
  <si>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</si>
  <si>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</si>
  <si>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</si>
  <si>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</si>
  <si>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</si>
  <si>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</si>
  <si>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</si>
  <si>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</si>
  <si>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</si>
  <si>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</si>
  <si>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</si>
  <si>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</si>
  <si>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</si>
  <si>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26</t>
  </si>
  <si>
    <t>საცალო პროდუქტები</t>
  </si>
  <si>
    <t>სესხების ძირი თანხა</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</si>
  <si>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</si>
  <si>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</si>
  <si>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</si>
  <si>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</si>
  <si>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</si>
  <si>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სატრანსპორტო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</si>
  <si>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</si>
  <si>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</si>
  <si>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</si>
  <si>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</si>
  <si>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</si>
  <si>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</si>
  <si>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</si>
  <si>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</si>
  <si>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</si>
  <si>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</si>
  <si>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</si>
  <si>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</si>
  <si>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</si>
  <si>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სესხების საშუალო შეწონილი ვადიანობა დარჩენილი ვადის მიხედვით (თვეებში)</t>
  </si>
  <si>
    <t>სესხის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</si>
  <si>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ნომინალური საპროცენტო განაკვეთი (მთლიანი ღირებულებაზე)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</si>
  <si>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</si>
  <si>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</si>
  <si>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</si>
  <si>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მოსალოდნელი საკრედიტო ზარალი IFRS 9-ის შესაბამისად</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</si>
  <si>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</si>
  <si>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</si>
  <si>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</si>
  <si>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პენსიის ან სხვა სახელმწიფო სოციალური გასაცემელის გათვალისწინებით გაცემული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</si>
  <si>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</si>
  <si>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</si>
  <si>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რემონტის მიზნობრიობით გაცემული უძრავი ქონებით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</si>
  <si>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</si>
  <si>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 xml:space="preserve">დასრულებული უძრავი ქონების და მიწის შეძენის მიზნობრიობით გაცემული სესხები. </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</si>
  <si>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</si>
  <si>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</si>
  <si>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</si>
  <si>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</si>
  <si>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</si>
  <si>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სამომხმარებლო მიზნობრიობით გაცემული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</si>
  <si>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</si>
  <si>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ცხრილი "26"</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</si>
  <si>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</si>
  <si>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"25"</t>
  </si>
  <si>
    <t>IFRS 9-ის შესაბამისად.</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</si>
  <si>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</si>
  <si>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</si>
  <si>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"24"</t>
  </si>
  <si>
    <t xml:space="preserve">მინიმუმი გარანტიის საბაზრო ღირებულებასა და სესხის მთლიან ღირებულებას შორის. </t>
  </si>
  <si>
    <t>დაგირავებული უძრავი ქონების საბაზრო ღირებულება, შესაბამისი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</si>
  <si>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</si>
  <si>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</si>
  <si>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</si>
  <si>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1.1 ველში შემავალი უზრუნველყოფილი სესხების მოსალოდნელი საკრედიტო ზარალი IFRS 9-ის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</si>
  <si>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</si>
  <si>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</si>
  <si>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</si>
  <si>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</si>
  <si>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ცხრილი "23"</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</si>
  <si>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</si>
  <si>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</si>
  <si>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</si>
  <si>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ბანკები და მრავალმხრივი ბანკები.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</si>
  <si>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</si>
  <si>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მთავრობები</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</si>
  <si>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</si>
  <si>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ცხრილი "22"</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</si>
  <si>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</si>
  <si>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</si>
  <si>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</si>
  <si>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</si>
  <si>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</si>
  <si>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</si>
  <si>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 სესხების ბალანსი პერიოდის ბოლოს</t>
  </si>
  <si>
    <t>12</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</si>
  <si>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</si>
  <si>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11</t>
  </si>
  <si>
    <t>სხვა ბალანსის რეკონსილაციისთვის საჭირო გატარებები</t>
  </si>
  <si>
    <t>10</t>
  </si>
  <si>
    <t>უმოქმედოდ კლასიფიცირებული სესხების შემცირება, სესხების გაყიდვის გზით</t>
  </si>
  <si>
    <t>9</t>
  </si>
  <si>
    <t>უმოქმედოდ კლასიფიცირებული სესხების შემცირება, უზრუნველყოფის დასაკუთრების გზით</t>
  </si>
  <si>
    <t>8</t>
  </si>
  <si>
    <t>უმოქმედოდ კლასიფიცირებული სესხების ჩამოწერის გზით</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</si>
  <si>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</si>
  <si>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</si>
  <si>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უმოქმედოდ კლასიფიცირებული სესხების შემცირება, საკრედიტო რისკის დონის შემცირების შედეგად</t>
  </si>
  <si>
    <t>5</t>
  </si>
  <si>
    <t>უმოქმედოდ კლასიფიცირებული სესხების შემცირება</t>
  </si>
  <si>
    <t>4</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</si>
  <si>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</si>
  <si>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საკრედიტო რისკის დონის ზრდის შედეგად</t>
  </si>
  <si>
    <t>უმოქმედო სესხების საწყისი ბალანსი</t>
  </si>
  <si>
    <t>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</si>
  <si>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</si>
  <si>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ცხრილი "21"</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</si>
  <si>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t>
  </si>
  <si>
    <t>ცხრილი "20"</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</si>
  <si>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</si>
  <si>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</si>
  <si>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</si>
  <si>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ცხრილი "18 -19"</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</si>
  <si>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</si>
  <si>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</si>
  <si>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</si>
  <si>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განმარტებები გვერდებისთვის  "17"</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</si>
  <si>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</si>
  <si>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</si>
  <si>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 xml:space="preserve">აქტივები/სესხები, რომლებზეც არ არის აღრიცხული დაფარვის წყაროს სექტორი </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</si>
  <si>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</si>
  <si>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</si>
  <si>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</si>
  <si>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</si>
  <si>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აფთიაქები და სააფთიაქო ქსელები, წამლების წარმოება, წამლების დისტრიბუცია.</t>
  </si>
  <si>
    <t>საავადმყოფოების, კლინიკების და სხვა სამედიცინო გამაჯანსაღებელი კომპლექსები.</t>
  </si>
  <si>
    <t>ავტომობილებით ვაჭრობა.</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</si>
  <si>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</si>
  <si>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ბენზინის დისტრიბუცია, წარმოება, იმპორტი და ექსპორტი.</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</si>
  <si>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</si>
  <si>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რესტორნები, ბარები, კაფეები, სწრაფი კვების ობიექტები და სხვა.</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</si>
  <si>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</si>
  <si>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სხვა საწარმოები, რომელიც არ არის  წარმოდგენილი ზემოთ აღნიშნულ სექტორებში.</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</si>
  <si>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</si>
  <si>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საბითუმო და საცალო ვაჭრობა, ექსპორტი და იმპორტი: ფეხსაცმელი, ტანსაცმელი, ტექსტილის ნაწარმი და სხვა.</t>
  </si>
  <si>
    <t>მაგალითად, ავეჯი, ელექტრო ტექნიკა, კომპიუტერული ტექნიკა, ციფრული ტექნიკა და სხვა.</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</si>
  <si>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</si>
  <si>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</si>
  <si>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სამშენებლო მასალების მოპოვება, წარმოება ან/და აღნიშნული მასალებით საცალო და საბითუმო ვაჭრობა.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</si>
  <si>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</si>
  <si>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უძრავი ქონების გაქირავება და მასთან დაკავშირებული მომსახურების უზრუნველყოფა.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</si>
  <si>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</si>
  <si>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ძვირფასი ლითონებითა და ქვებით უზრუნველყოფილი ლომბარდული ბიზნეს საქმიანობა.</t>
  </si>
  <si>
    <t>საბითუმო ლომბარდი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</si>
  <si>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</si>
  <si>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</si>
  <si>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</si>
  <si>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უმოქმედო აქტივი/სესხი</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</si>
  <si>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</si>
  <si>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მე- 22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</si>
  <si>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</si>
  <si>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</si>
  <si>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</si>
  <si>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</si>
  <si>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</si>
  <si>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ზოგადი განმარტებები</t>
  </si>
  <si>
    <t>განმარტებები გვერდებისთვის  "17-26"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</si>
  <si>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</si>
  <si>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</si>
  <si>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</si>
  <si>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განმარტებები გვერდისთვის 16. NSFR ცხრილი 16</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</si>
  <si>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</si>
  <si>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15. CCR, ცხრილი 15</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</si>
  <si>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</si>
  <si>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სხვა გადინება გარდა ზემოაღნიშნულ კატეგორიებში შემავალი მუხლებისა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</si>
  <si>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</si>
  <si>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</si>
  <si>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LCR მიზნებისთვის არსებული უზრუნველყოფილი დაფინანსება (A.2)</t>
  </si>
  <si>
    <t>არაუზრუნველყოფილი დაფინანსება (A.1) გარდა ფიზიკური პირების დეპოზიტებისა</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</si>
  <si>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</si>
  <si>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სვეტები</t>
  </si>
  <si>
    <t>განმარტებები გვერდისათვის " .LCR", ცხრილი 14</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</si>
  <si>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</si>
  <si>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</si>
  <si>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</si>
  <si>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</si>
  <si>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</si>
  <si>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</si>
  <si>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განმარტებები გვერდისთვის "13. CRME", ცხრილი 13</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</si>
  <si>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</si>
  <si>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</si>
  <si>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</si>
  <si>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</si>
  <si>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</si>
  <si>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</si>
  <si>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განმარტებები გვერდისთვის "12. CRM", ცხრილი 12</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</si>
  <si>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</si>
  <si>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</si>
  <si>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განმარტებები გვერდისთვის "11. CRWA", ცხრილი 11</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</si>
  <si>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</si>
  <si>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</si>
  <si>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</si>
  <si>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</si>
  <si>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კავშირი ცხრილებს შორის</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</si>
  <si>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</si>
  <si>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</si>
  <si>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</si>
  <si>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</si>
  <si>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</si>
  <si>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</si>
  <si>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</si>
  <si>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განმარტებები გვერდისთვის 10. CC2, ცხრილი 10</t>
  </si>
  <si>
    <t>განმარტებები გვერდისთვის 9. Capital, ცხრილი 9</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</si>
  <si>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</si>
  <si>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</si>
  <si>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</si>
  <si>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</si>
  <si>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</si>
  <si>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</si>
  <si>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</si>
  <si>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</si>
  <si>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</si>
  <si>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</si>
  <si>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სტრიქონები:</t>
  </si>
  <si>
    <t>განმარტებები გვერდისთვის 8. LI2, ცხრილი 8</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</si>
  <si>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</si>
  <si>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</si>
  <si>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</si>
  <si>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</si>
  <si>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</si>
  <si>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სვეტები: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</si>
  <si>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</si>
  <si>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განმარტებები გვერდისთვის 7. LI1, ცხრილი 7</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</si>
  <si>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</si>
  <si>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6. Administrators-Shareholders, ცხრილი 6</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</si>
  <si>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</si>
  <si>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</si>
  <si>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</si>
  <si>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</si>
  <si>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</si>
  <si>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განმარტებები გვერდისთვის 5. RWA, ცხრილი 5</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</si>
  <si>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</si>
  <si>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</si>
  <si>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</si>
  <si>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</si>
  <si>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</si>
  <si>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</si>
  <si>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</si>
  <si>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</si>
  <si>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</si>
  <si>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</si>
  <si>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</si>
  <si>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</si>
  <si>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</si>
  <si>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</si>
  <si>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</si>
  <si>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</si>
  <si>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</si>
  <si>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</si>
  <si>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</si>
  <si>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</si>
  <si>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</si>
  <si>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განმარტებები გვერდისთვის 4. off-balance, ცხრილი 4</t>
  </si>
  <si>
    <t>ცხრილებში მოთხოვნილი ინფორმაცია მჟღავნდება ფასს-ის მიხედვით</t>
  </si>
  <si>
    <t>განმარტებები გვერდისთვის 2. SOFP, 3. SOPL, ცხრილები 2 და 3</t>
  </si>
  <si>
    <t>წმინდა მოგება – ბანკის მოგება-ზარალის უწყისით გათვალისწინებული წმინდა მოგება;</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</si>
  <si>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</si>
  <si>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</si>
  <si>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</si>
  <si>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</si>
  <si>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</si>
  <si>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</si>
  <si>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</si>
  <si>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მთლიანი სესხები – საბალანსო უწყისით გათვალისწინებული მთლიანი სესხები;</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</si>
  <si>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</si>
  <si>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</si>
  <si>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</si>
  <si>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</si>
  <si>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</si>
  <si>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</si>
  <si>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</si>
  <si>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მთლიანი საპროცენტო ხარჯები – წლიურად გადაანგარიშებული მთლიანი საპროცენტო ხარჯები;</t>
  </si>
  <si>
    <t>მთლიანი საპროცენტო შემოსავლები – წლიურად გადაანგარიშებული მთლიანი საპროცენტო შემოსავლები;</t>
  </si>
  <si>
    <t>სააქციო კაპიტალი – საბალანსო უწყისით გათვალისწინებული სააქციო კაპიტალი;</t>
  </si>
  <si>
    <t>მთლიანი ვალდებულებები – საბალანსო უწყისით გათვალისწინებული მთლიანი ვალდებულებები;</t>
  </si>
  <si>
    <t>მთლიანი აქტივები – საბალანსო უწყისით გათვალისწინებული მთლიანი აქტივები;</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</si>
  <si>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</si>
  <si>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</si>
  <si>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</si>
  <si>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(6)-(24) სტრიქონების შესაბამისი მონაცემები უნდა გამოისახოს პროცენტულად.</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</si>
  <si>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</si>
  <si>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განმარტებები გვერდისთვის 1. Key Ratios, ცხრილი 1</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</si>
  <si>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</si>
  <si>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</si>
  <si>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 xml:space="preserve"> ცხრილი 9 (Capital), N6</t>
  </si>
  <si>
    <t xml:space="preserve"> ცხრილი 9 (Capital), 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</si>
</sst>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0_ ;[Red]\-#,##0\ "/>
    <numFmt numFmtId="166" formatCode="_(* #,##0_);_(* \(#,##0\);_(* &quot;-&quot;??_);_(@_)"/>
    <numFmt numFmtId="167" formatCode="0.0%"/>
    <numFmt numFmtId="168" formatCode="_(* #,##0.0_);_(* \(#,##0.0\);_(* &quot;-&quot;??_);_(@_)"/>
    <numFmt numFmtId="169" formatCode="_(#,##0_);_(\(#,##0\);_(\ \-\ _);_(@_)"/>
    <numFmt numFmtId="170" formatCode="_-* #,##0.00_-;\-* #,##0.00_-;_-* &quot;-&quot;??_-;_-@_-"/>
  </numFmts>
  <fonts count="7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1"/>
      <name val="Sylfaen"/>
      <family val="1"/>
    </font>
    <font>
      <sz val="10"/>
      <color theme="1"/>
      <name val="Sylfaen"/>
      <family val="1"/>
    </font>
    <font>
      <sz val="10"/>
      <name val="Calibri"/>
      <family val="2"/>
      <scheme val="minor"/>
    </font>
    <font>
      <sz val="10"/>
      <name val="Sylfaen"/>
      <family val="1"/>
    </font>
    <font>
      <sz val="11"/>
      <color theme="1"/>
      <name val="Sylfaen"/>
      <family val="1"/>
    </font>
    <font>
      <u/>
      <sz val="10"/>
      <color indexed="12"/>
      <name val="Arial"/>
      <family val="2"/>
    </font>
    <font>
      <b/>
      <i/>
      <sz val="10"/>
      <color theme="1"/>
      <name val="Sylfaen"/>
      <family val="1"/>
    </font>
    <font>
      <sz val="10"/>
      <color theme="1"/>
      <name val="Calibri"/>
      <family val="1"/>
      <scheme val="minor"/>
    </font>
    <font>
      <b/>
      <sz val="10"/>
      <name val="Sylfaen"/>
      <family val="1"/>
    </font>
    <font>
      <b/>
      <sz val="10"/>
      <name val="Calibri"/>
      <family val="2"/>
      <scheme val="minor"/>
    </font>
    <font>
      <b/>
      <i/>
      <sz val="10"/>
      <color theme="1"/>
      <name val="Calibri"/>
      <family val="2"/>
      <scheme val="minor"/>
    </font>
    <font>
      <b/>
      <i/>
      <sz val="11"/>
      <color theme="1"/>
      <name val="Calibri"/>
      <family val="2"/>
      <scheme val="minor"/>
    </font>
    <font>
      <sz val="10"/>
      <name val="MS Sans Serif"/>
      <family val="2"/>
    </font>
    <font>
      <b/>
      <i/>
      <sz val="10"/>
      <name val="Calibri"/>
      <family val="2"/>
      <scheme val="minor"/>
    </font>
    <font>
      <sz val="10"/>
      <color rgb="FF333333"/>
      <name val="Sylfaen"/>
      <family val="1"/>
    </font>
    <font>
      <sz val="10"/>
      <color rgb="FFFF0000"/>
      <name val="Calibri"/>
      <family val="2"/>
      <scheme val="minor"/>
    </font>
    <font>
      <b/>
      <sz val="12"/>
      <color theme="1"/>
      <name val="Calibri"/>
      <family val="2"/>
      <scheme val="minor"/>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8"/>
      <color theme="1"/>
      <name val="Calibri"/>
      <family val="2"/>
      <scheme val="minor"/>
    </font>
    <font>
      <b/>
      <sz val="10"/>
      <color theme="1"/>
      <name val="Calibri"/>
      <family val="2"/>
      <scheme val="minor"/>
    </font>
    <font>
      <i/>
      <sz val="10"/>
      <name val="Sylfaen"/>
      <family val="1"/>
    </font>
    <font>
      <sz val="10"/>
      <color theme="1"/>
      <name val="Segoe UI"/>
      <family val="2"/>
    </font>
    <font>
      <sz val="10"/>
      <color theme="1"/>
      <name val="Times New Roman"/>
      <family val="1"/>
    </font>
    <font>
      <sz val="8"/>
      <color rgb="FFFF0000"/>
      <name val="Calibri"/>
      <family val="2"/>
      <scheme val="minor"/>
    </font>
    <font>
      <sz val="10"/>
      <name val="Arial"/>
      <family val="2"/>
      <charset val="204"/>
    </font>
    <font>
      <sz val="10"/>
      <name val="Geo_Arial"/>
      <family val="2"/>
    </font>
    <font>
      <sz val="10"/>
      <color rgb="FFFF0000"/>
      <name val="Sylfaen"/>
      <family val="1"/>
    </font>
    <font>
      <b/>
      <sz val="10"/>
      <color rgb="FFFF0000"/>
      <name val="Calibri"/>
      <family val="2"/>
      <scheme val="minor"/>
    </font>
    <font>
      <b/>
      <sz val="10"/>
      <name val="Calibri"/>
      <family val="1"/>
      <scheme val="minor"/>
    </font>
    <font>
      <sz val="10"/>
      <name val="Calibri"/>
      <family val="1"/>
      <scheme val="minor"/>
    </font>
    <font>
      <b/>
      <sz val="10"/>
      <color theme="1"/>
      <name val="Sylfaen"/>
      <family val="1"/>
    </font>
    <font>
      <i/>
      <sz val="10"/>
      <color theme="1"/>
      <name val="Sylfaen"/>
      <family val="1"/>
    </font>
    <font>
      <i/>
      <sz val="11"/>
      <color theme="1"/>
      <name val="Calibri"/>
      <family val="2"/>
      <scheme val="minor"/>
    </font>
    <font>
      <sz val="10"/>
      <name val="SPKolheti"/>
      <family val="1"/>
    </font>
    <font>
      <sz val="9"/>
      <color theme="1"/>
      <name val="Calibri"/>
      <family val="2"/>
      <scheme val="minor"/>
    </font>
    <font>
      <i/>
      <sz val="10"/>
      <color theme="1"/>
      <name val="Calibri"/>
      <family val="2"/>
      <scheme val="minor"/>
    </font>
    <font>
      <b/>
      <sz val="9"/>
      <name val="Arial"/>
      <family val="2"/>
    </font>
    <font>
      <b/>
      <sz val="10"/>
      <name val="Arial"/>
      <family val="2"/>
    </font>
    <font>
      <sz val="9"/>
      <name val="Arial"/>
      <family val="2"/>
    </font>
    <font>
      <sz val="9"/>
      <name val="Calibri"/>
      <family val="2"/>
    </font>
    <font>
      <b/>
      <sz val="9"/>
      <name val="Calibri"/>
      <family val="2"/>
    </font>
    <font>
      <sz val="11"/>
      <color indexed="8"/>
      <name val="Calibri"/>
      <family val="2"/>
    </font>
    <font>
      <sz val="8"/>
      <name val="Arial"/>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sz val="9"/>
      <color rgb="FFFF0000"/>
      <name val="Sylfaen"/>
      <family val="1"/>
    </font>
    <font>
      <i/>
      <sz val="9"/>
      <name val="Calibri"/>
      <family val="1"/>
      <scheme val="minor"/>
    </font>
    <font>
      <b/>
      <sz val="9"/>
      <name val="Calibri"/>
      <family val="1"/>
      <scheme val="minor"/>
    </font>
    <font>
      <b/>
      <sz val="9"/>
      <color rgb="FFFF0000"/>
      <name val="Sylfaen"/>
      <family val="1"/>
    </font>
    <font>
      <b/>
      <u/>
      <sz val="9"/>
      <color theme="1"/>
      <name val="Sylfaen"/>
      <family val="1"/>
    </font>
    <font>
      <sz val="9"/>
      <color rgb="FFFF0000"/>
      <name val="Calibri"/>
      <family val="1"/>
      <scheme val="minor"/>
    </font>
    <font>
      <sz val="9"/>
      <color theme="1"/>
      <name val="Calibri"/>
      <family val="1"/>
      <scheme val="minor"/>
    </font>
    <font>
      <b/>
      <sz val="8"/>
      <name val="Sylfaen"/>
      <family val="1"/>
    </font>
    <font>
      <sz val="11"/>
      <name val="Calibri"/>
      <family val="2"/>
      <scheme val="minor"/>
    </font>
    <font>
      <sz val="8"/>
      <name val="Sylfaen"/>
      <family val="1"/>
    </font>
    <font>
      <sz val="9"/>
      <color rgb="FF000000"/>
      <name val="Sylfaen"/>
      <family val="1"/>
    </font>
    <font>
      <u/>
      <sz val="8"/>
      <name val="Sylfaen"/>
      <family val="1"/>
    </font>
    <font>
      <sz val="8"/>
      <color rgb="FFFF0000"/>
      <name val="Sylfaen"/>
      <family val="1"/>
    </font>
    <font>
      <b/>
      <i/>
      <u/>
      <sz val="8"/>
      <name val="Sylfae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lightGray">
        <fgColor indexed="22"/>
      </patternFill>
    </fill>
    <fill>
      <patternFill patternType="lightGray">
        <fgColor indexed="22"/>
        <bgColor theme="0" tint="-4.9989318521683403E-2"/>
      </patternFill>
    </fill>
    <fill>
      <patternFill patternType="solid">
        <fgColor rgb="FFFFFFFF"/>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5F5F5F"/>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4"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auto="1"/>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thin">
        <color indexed="64"/>
      </right>
      <top style="medium">
        <color indexed="64"/>
      </top>
      <bottom/>
      <diagonal/>
    </border>
    <border>
      <left/>
      <right style="medium">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medium">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theme="1" tint="0.34998626667073579"/>
      </right>
      <top/>
      <bottom/>
      <diagonal/>
    </border>
    <border>
      <left style="thin">
        <color theme="1" tint="0.34998626667073579"/>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style="thin">
        <color theme="1" tint="0.34998626667073579"/>
      </left>
      <right/>
      <top style="thin">
        <color theme="1" tint="0.34998626667073579"/>
      </top>
      <bottom style="double">
        <color theme="1" tint="0.34998626667073579"/>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theme="1" tint="0.34998626667073579"/>
      </right>
      <top/>
      <bottom style="double">
        <color indexed="64"/>
      </bottom>
      <diagonal/>
    </border>
    <border>
      <left/>
      <right/>
      <top/>
      <bottom style="double">
        <color indexed="64"/>
      </bottom>
      <diagonal/>
    </border>
    <border>
      <left style="thin">
        <color theme="1" tint="0.34998626667073579"/>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theme="1" tint="0.34998626667073579"/>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style="thin">
        <color theme="1" tint="0.34998626667073579"/>
      </left>
      <right/>
      <top style="double">
        <color theme="1" tint="0.34998626667073579"/>
      </top>
      <bottom style="medium">
        <color theme="1" tint="0.34998626667073579"/>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5" fillId="0" borderId="0"/>
    <xf numFmtId="0" fontId="5" fillId="0" borderId="0"/>
    <xf numFmtId="164" fontId="18" fillId="4" borderId="0"/>
    <xf numFmtId="0" fontId="5" fillId="0" borderId="0"/>
    <xf numFmtId="0" fontId="38" fillId="0" borderId="0"/>
    <xf numFmtId="0" fontId="38" fillId="0" borderId="0"/>
    <xf numFmtId="43" fontId="1" fillId="0" borderId="0" applyFont="0" applyFill="0" applyBorder="0" applyAlignment="0" applyProtection="0"/>
    <xf numFmtId="0" fontId="1" fillId="0" borderId="0"/>
    <xf numFmtId="0" fontId="1"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alignment vertical="center"/>
    </xf>
    <xf numFmtId="43" fontId="5" fillId="0" borderId="0" applyFont="0" applyFill="0" applyBorder="0" applyAlignment="0" applyProtection="0"/>
    <xf numFmtId="43" fontId="55" fillId="0" borderId="0" applyFont="0" applyFill="0" applyBorder="0" applyAlignment="0" applyProtection="0"/>
    <xf numFmtId="0" fontId="5" fillId="0" borderId="0"/>
    <xf numFmtId="170" fontId="1" fillId="0" borderId="0" applyFont="0" applyFill="0" applyBorder="0" applyAlignment="0" applyProtection="0"/>
    <xf numFmtId="0" fontId="5" fillId="0" borderId="0"/>
  </cellStyleXfs>
  <cellXfs count="982">
    <xf numFmtId="0" fontId="0" fillId="0" borderId="0" xfId="0"/>
    <xf numFmtId="0" fontId="4" fillId="0" borderId="1" xfId="0" applyFont="1" applyBorder="1"/>
    <xf numFmtId="0" fontId="6" fillId="0" borderId="1" xfId="4" applyFont="1" applyBorder="1" applyAlignment="1">
      <alignment horizontal="center" vertical="center"/>
    </xf>
    <xf numFmtId="0" fontId="7" fillId="0" borderId="1" xfId="0" applyFont="1" applyBorder="1"/>
    <xf numFmtId="0" fontId="8" fillId="2" borderId="1" xfId="4" applyFont="1" applyFill="1" applyBorder="1" applyAlignment="1">
      <alignment horizontal="right" indent="1"/>
    </xf>
    <xf numFmtId="0" fontId="9" fillId="2" borderId="1" xfId="4" applyFont="1" applyFill="1" applyBorder="1" applyAlignment="1">
      <alignment horizontal="left" wrapText="1" indent="1"/>
    </xf>
    <xf numFmtId="0" fontId="10" fillId="0" borderId="1" xfId="0" applyFont="1" applyBorder="1"/>
    <xf numFmtId="0" fontId="1" fillId="0" borderId="0" xfId="0" applyFont="1"/>
    <xf numFmtId="0" fontId="9" fillId="0" borderId="1" xfId="4" applyFont="1" applyBorder="1" applyAlignment="1">
      <alignment horizontal="left" wrapText="1" indent="1"/>
    </xf>
    <xf numFmtId="0" fontId="8" fillId="2" borderId="2" xfId="4" applyFont="1" applyFill="1" applyBorder="1" applyAlignment="1">
      <alignment horizontal="right" indent="1"/>
    </xf>
    <xf numFmtId="0" fontId="9" fillId="0" borderId="2" xfId="4" applyFont="1" applyBorder="1" applyAlignment="1">
      <alignment horizontal="left" wrapText="1" indent="1"/>
    </xf>
    <xf numFmtId="0" fontId="11" fillId="0" borderId="1" xfId="3" applyBorder="1" applyAlignment="1" applyProtection="1"/>
    <xf numFmtId="0" fontId="12" fillId="0" borderId="0" xfId="0" applyFont="1" applyAlignment="1">
      <alignment wrapText="1"/>
    </xf>
    <xf numFmtId="0" fontId="8" fillId="2" borderId="1" xfId="4" applyFont="1" applyFill="1" applyBorder="1"/>
    <xf numFmtId="0" fontId="11" fillId="0" borderId="1" xfId="3" applyFill="1" applyBorder="1" applyAlignment="1" applyProtection="1"/>
    <xf numFmtId="0" fontId="11" fillId="0" borderId="1" xfId="3" applyFill="1" applyBorder="1" applyAlignment="1" applyProtection="1">
      <alignment horizontal="left" vertical="center" wrapText="1"/>
    </xf>
    <xf numFmtId="49" fontId="13" fillId="0" borderId="1" xfId="0" applyNumberFormat="1" applyFont="1" applyBorder="1" applyAlignment="1">
      <alignment horizontal="right" vertical="center" wrapText="1"/>
    </xf>
    <xf numFmtId="0" fontId="11" fillId="0" borderId="1" xfId="3" applyFill="1" applyBorder="1" applyAlignment="1" applyProtection="1">
      <alignment horizontal="left" vertical="center"/>
    </xf>
    <xf numFmtId="0" fontId="11" fillId="0" borderId="1" xfId="3" applyFill="1" applyBorder="1" applyAlignment="1" applyProtection="1">
      <alignment vertical="top" wrapText="1"/>
    </xf>
    <xf numFmtId="0" fontId="11" fillId="0" borderId="1" xfId="3" applyFill="1" applyBorder="1" applyAlignment="1" applyProtection="1">
      <alignment horizontal="left" vertical="top" wrapText="1"/>
    </xf>
    <xf numFmtId="0" fontId="4" fillId="0" borderId="0" xfId="0" applyFont="1"/>
    <xf numFmtId="0" fontId="9" fillId="0" borderId="0" xfId="5" applyFont="1"/>
    <xf numFmtId="43" fontId="8" fillId="0" borderId="0" xfId="1" applyFont="1"/>
    <xf numFmtId="0" fontId="8" fillId="0" borderId="0" xfId="0" applyFont="1"/>
    <xf numFmtId="14" fontId="4" fillId="0" borderId="0" xfId="0" applyNumberFormat="1" applyFont="1" applyAlignment="1">
      <alignment horizontal="left"/>
    </xf>
    <xf numFmtId="0" fontId="3" fillId="0" borderId="0" xfId="0" applyFont="1"/>
    <xf numFmtId="0" fontId="9" fillId="0" borderId="5" xfId="0" applyFont="1" applyBorder="1"/>
    <xf numFmtId="0" fontId="14" fillId="0" borderId="5" xfId="0" applyFont="1" applyBorder="1" applyAlignment="1">
      <alignment horizontal="center"/>
    </xf>
    <xf numFmtId="0" fontId="15" fillId="0" borderId="5" xfId="0" applyFont="1" applyBorder="1" applyAlignment="1">
      <alignment horizontal="center" vertical="center"/>
    </xf>
    <xf numFmtId="0" fontId="9" fillId="0" borderId="9" xfId="0" applyFont="1" applyBorder="1" applyAlignment="1">
      <alignment horizontal="right" vertical="center" wrapText="1"/>
    </xf>
    <xf numFmtId="0" fontId="8" fillId="0" borderId="10" xfId="0" applyFont="1" applyBorder="1" applyAlignment="1">
      <alignment vertical="center" wrapTex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9" xfId="0" applyFont="1" applyBorder="1" applyAlignment="1">
      <alignment horizontal="left" vertical="center" wrapText="1" indent="1"/>
    </xf>
    <xf numFmtId="0" fontId="9"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left" vertical="center" wrapText="1"/>
    </xf>
    <xf numFmtId="0" fontId="9" fillId="0" borderId="12" xfId="0" applyFont="1" applyBorder="1" applyAlignment="1">
      <alignment horizontal="right" vertical="center" wrapText="1"/>
    </xf>
    <xf numFmtId="0" fontId="8" fillId="0" borderId="1" xfId="0" applyFont="1" applyBorder="1" applyAlignment="1">
      <alignment vertical="center" wrapText="1"/>
    </xf>
    <xf numFmtId="165" fontId="8" fillId="0" borderId="1" xfId="0" applyNumberFormat="1" applyFont="1" applyBorder="1" applyAlignment="1" applyProtection="1">
      <alignment vertical="center" wrapText="1"/>
      <protection locked="0"/>
    </xf>
    <xf numFmtId="165" fontId="4" fillId="0" borderId="1" xfId="0" applyNumberFormat="1" applyFont="1" applyBorder="1" applyAlignment="1" applyProtection="1">
      <alignment vertical="center" wrapText="1"/>
      <protection locked="0"/>
    </xf>
    <xf numFmtId="165" fontId="4" fillId="0" borderId="19" xfId="0" applyNumberFormat="1" applyFont="1" applyBorder="1" applyAlignment="1" applyProtection="1">
      <alignment vertical="center" wrapText="1"/>
      <protection locked="0"/>
    </xf>
    <xf numFmtId="165" fontId="4" fillId="0" borderId="12" xfId="0" applyNumberFormat="1" applyFont="1" applyBorder="1" applyAlignment="1" applyProtection="1">
      <alignment vertical="center" wrapText="1"/>
      <protection locked="0"/>
    </xf>
    <xf numFmtId="166" fontId="0" fillId="0" borderId="0" xfId="1" applyNumberFormat="1" applyFont="1"/>
    <xf numFmtId="165" fontId="0" fillId="0" borderId="0" xfId="0" applyNumberFormat="1"/>
    <xf numFmtId="164" fontId="18" fillId="5" borderId="20" xfId="6" applyFill="1" applyBorder="1"/>
    <xf numFmtId="164" fontId="18" fillId="5" borderId="21" xfId="6" applyFill="1" applyBorder="1"/>
    <xf numFmtId="164" fontId="18" fillId="5" borderId="22" xfId="6" applyFill="1" applyBorder="1"/>
    <xf numFmtId="165" fontId="8" fillId="0" borderId="1" xfId="0" applyNumberFormat="1" applyFont="1" applyBorder="1" applyAlignment="1" applyProtection="1">
      <alignment horizontal="right" vertical="center" wrapText="1"/>
      <protection locked="0"/>
    </xf>
    <xf numFmtId="164" fontId="18" fillId="5" borderId="3" xfId="6" applyFill="1" applyBorder="1"/>
    <xf numFmtId="164" fontId="18" fillId="5" borderId="4" xfId="6" applyFill="1" applyBorder="1"/>
    <xf numFmtId="164" fontId="18" fillId="5" borderId="13" xfId="6" applyFill="1" applyBorder="1"/>
    <xf numFmtId="164" fontId="18" fillId="5" borderId="15" xfId="6" applyFill="1" applyBorder="1"/>
    <xf numFmtId="164" fontId="18" fillId="5" borderId="16" xfId="6" applyFill="1" applyBorder="1"/>
    <xf numFmtId="164" fontId="18" fillId="5" borderId="17" xfId="6" applyFill="1" applyBorder="1"/>
    <xf numFmtId="10" fontId="4" fillId="0" borderId="1" xfId="2" applyNumberFormat="1" applyFont="1" applyFill="1" applyBorder="1" applyAlignment="1" applyProtection="1">
      <alignment horizontal="right" vertical="center" wrapText="1"/>
      <protection locked="0"/>
    </xf>
    <xf numFmtId="10" fontId="4" fillId="0" borderId="12" xfId="2" applyNumberFormat="1" applyFont="1" applyBorder="1" applyAlignment="1" applyProtection="1">
      <alignment vertical="center" wrapText="1"/>
      <protection locked="0"/>
    </xf>
    <xf numFmtId="10" fontId="4" fillId="0" borderId="1" xfId="2" applyNumberFormat="1" applyFont="1" applyBorder="1" applyAlignment="1" applyProtection="1">
      <alignment vertical="center" wrapText="1"/>
      <protection locked="0"/>
    </xf>
    <xf numFmtId="10" fontId="4" fillId="0" borderId="19" xfId="2" applyNumberFormat="1" applyFont="1" applyBorder="1" applyAlignment="1" applyProtection="1">
      <alignment vertical="center" wrapText="1"/>
      <protection locked="0"/>
    </xf>
    <xf numFmtId="10" fontId="4" fillId="0" borderId="1" xfId="2" applyNumberFormat="1" applyFont="1" applyFill="1" applyBorder="1" applyAlignment="1" applyProtection="1">
      <alignment vertical="center" wrapText="1"/>
      <protection locked="0"/>
    </xf>
    <xf numFmtId="0" fontId="8" fillId="0" borderId="1" xfId="0" applyFont="1" applyBorder="1" applyAlignment="1">
      <alignment vertical="top" wrapText="1"/>
    </xf>
    <xf numFmtId="0" fontId="9" fillId="6" borderId="12" xfId="0" applyFont="1" applyFill="1" applyBorder="1" applyAlignment="1">
      <alignment horizontal="right" vertical="center"/>
    </xf>
    <xf numFmtId="0" fontId="9" fillId="6" borderId="1" xfId="0" applyFont="1" applyFill="1" applyBorder="1" applyAlignment="1">
      <alignment vertical="center"/>
    </xf>
    <xf numFmtId="9" fontId="9" fillId="0" borderId="1" xfId="2" applyFont="1" applyFill="1" applyBorder="1" applyAlignment="1" applyProtection="1">
      <alignment vertical="center"/>
      <protection locked="0"/>
    </xf>
    <xf numFmtId="9" fontId="20" fillId="6" borderId="1" xfId="2" applyFont="1" applyFill="1" applyBorder="1" applyAlignment="1" applyProtection="1">
      <alignment vertical="center"/>
      <protection locked="0"/>
    </xf>
    <xf numFmtId="9" fontId="20" fillId="6" borderId="19" xfId="2" applyFont="1" applyFill="1" applyBorder="1" applyAlignment="1" applyProtection="1">
      <alignment vertical="center"/>
      <protection locked="0"/>
    </xf>
    <xf numFmtId="167" fontId="0" fillId="0" borderId="0" xfId="2" applyNumberFormat="1" applyFont="1"/>
    <xf numFmtId="9" fontId="20" fillId="6" borderId="12" xfId="2" applyFont="1" applyFill="1" applyBorder="1" applyAlignment="1" applyProtection="1">
      <alignment vertical="center"/>
      <protection locked="0"/>
    </xf>
    <xf numFmtId="9" fontId="20" fillId="0" borderId="1" xfId="2" applyFont="1" applyFill="1" applyBorder="1" applyAlignment="1" applyProtection="1">
      <alignment vertical="center"/>
      <protection locked="0"/>
    </xf>
    <xf numFmtId="9" fontId="9" fillId="6" borderId="1" xfId="2" applyFont="1" applyFill="1" applyBorder="1" applyAlignment="1" applyProtection="1">
      <alignment vertical="center"/>
      <protection locked="0"/>
    </xf>
    <xf numFmtId="10" fontId="20" fillId="6" borderId="19" xfId="2" applyNumberFormat="1" applyFont="1" applyFill="1" applyBorder="1" applyAlignment="1" applyProtection="1">
      <alignment vertical="center"/>
      <protection locked="0"/>
    </xf>
    <xf numFmtId="9" fontId="18" fillId="5" borderId="20" xfId="6" applyNumberFormat="1" applyFill="1" applyBorder="1"/>
    <xf numFmtId="9" fontId="18" fillId="5" borderId="21" xfId="6" applyNumberFormat="1" applyFill="1" applyBorder="1"/>
    <xf numFmtId="9" fontId="18" fillId="5" borderId="22" xfId="6" applyNumberFormat="1" applyFill="1" applyBorder="1"/>
    <xf numFmtId="9" fontId="9" fillId="6" borderId="19" xfId="2" applyFont="1" applyFill="1" applyBorder="1" applyAlignment="1" applyProtection="1">
      <alignment vertical="center"/>
      <protection locked="0"/>
    </xf>
    <xf numFmtId="9" fontId="9" fillId="6" borderId="12" xfId="2" applyFont="1" applyFill="1" applyBorder="1" applyAlignment="1" applyProtection="1">
      <alignment vertical="center"/>
      <protection locked="0"/>
    </xf>
    <xf numFmtId="165" fontId="9" fillId="6" borderId="1" xfId="0" applyNumberFormat="1" applyFont="1" applyFill="1" applyBorder="1" applyAlignment="1" applyProtection="1">
      <alignment vertical="center"/>
      <protection locked="0"/>
    </xf>
    <xf numFmtId="0" fontId="15" fillId="0" borderId="12" xfId="0" applyFont="1" applyBorder="1" applyAlignment="1">
      <alignment horizontal="center" vertical="center" wrapText="1"/>
    </xf>
    <xf numFmtId="0" fontId="9" fillId="0" borderId="1" xfId="0" applyFont="1" applyBorder="1" applyAlignment="1">
      <alignment horizontal="left" vertical="center" wrapText="1"/>
    </xf>
    <xf numFmtId="165" fontId="9" fillId="0" borderId="1" xfId="0" applyNumberFormat="1" applyFont="1" applyBorder="1" applyAlignment="1" applyProtection="1">
      <alignment vertical="center"/>
      <protection locked="0"/>
    </xf>
    <xf numFmtId="165" fontId="9" fillId="0" borderId="19" xfId="0" applyNumberFormat="1" applyFont="1" applyBorder="1" applyAlignment="1" applyProtection="1">
      <alignment vertical="center"/>
      <protection locked="0"/>
    </xf>
    <xf numFmtId="165" fontId="9" fillId="6" borderId="12" xfId="0" applyNumberFormat="1" applyFont="1" applyFill="1" applyBorder="1" applyAlignment="1" applyProtection="1">
      <alignment vertical="center"/>
      <protection locked="0"/>
    </xf>
    <xf numFmtId="165" fontId="9" fillId="6" borderId="19" xfId="0" applyNumberFormat="1" applyFont="1" applyFill="1" applyBorder="1" applyAlignment="1" applyProtection="1">
      <alignment vertical="center"/>
      <protection locked="0"/>
    </xf>
    <xf numFmtId="165" fontId="20" fillId="0" borderId="1" xfId="0" applyNumberFormat="1" applyFont="1" applyBorder="1" applyAlignment="1" applyProtection="1">
      <alignment vertical="center"/>
      <protection locked="0"/>
    </xf>
    <xf numFmtId="165" fontId="20" fillId="0" borderId="19" xfId="0" applyNumberFormat="1" applyFont="1" applyBorder="1" applyAlignment="1" applyProtection="1">
      <alignment vertical="center"/>
      <protection locked="0"/>
    </xf>
    <xf numFmtId="165" fontId="20" fillId="6" borderId="12" xfId="0" applyNumberFormat="1" applyFont="1" applyFill="1" applyBorder="1" applyAlignment="1" applyProtection="1">
      <alignment vertical="center"/>
      <protection locked="0"/>
    </xf>
    <xf numFmtId="165" fontId="20" fillId="6" borderId="1" xfId="0" applyNumberFormat="1" applyFont="1" applyFill="1" applyBorder="1" applyAlignment="1" applyProtection="1">
      <alignment vertical="center"/>
      <protection locked="0"/>
    </xf>
    <xf numFmtId="165" fontId="20" fillId="6" borderId="19" xfId="0" applyNumberFormat="1" applyFont="1" applyFill="1" applyBorder="1" applyAlignment="1" applyProtection="1">
      <alignment vertical="center"/>
      <protection locked="0"/>
    </xf>
    <xf numFmtId="0" fontId="9" fillId="6" borderId="24" xfId="0" applyFont="1" applyFill="1" applyBorder="1" applyAlignment="1">
      <alignment horizontal="right" vertical="center"/>
    </xf>
    <xf numFmtId="0" fontId="9" fillId="6" borderId="2" xfId="0" applyFont="1" applyFill="1" applyBorder="1" applyAlignment="1">
      <alignment vertical="center"/>
    </xf>
    <xf numFmtId="167" fontId="9" fillId="0" borderId="1" xfId="2" applyNumberFormat="1" applyFont="1" applyFill="1" applyBorder="1" applyAlignment="1" applyProtection="1">
      <alignment vertical="center"/>
      <protection locked="0"/>
    </xf>
    <xf numFmtId="9" fontId="9" fillId="0" borderId="19" xfId="2" applyFont="1" applyFill="1" applyBorder="1" applyAlignment="1" applyProtection="1">
      <alignment vertical="center"/>
      <protection locked="0"/>
    </xf>
    <xf numFmtId="165" fontId="20" fillId="0" borderId="2" xfId="0" applyNumberFormat="1" applyFont="1" applyBorder="1" applyAlignment="1" applyProtection="1">
      <alignment vertical="center"/>
      <protection locked="0"/>
    </xf>
    <xf numFmtId="165" fontId="20" fillId="0" borderId="25" xfId="0" applyNumberFormat="1" applyFont="1" applyBorder="1" applyAlignment="1" applyProtection="1">
      <alignment vertical="center"/>
      <protection locked="0"/>
    </xf>
    <xf numFmtId="165" fontId="20" fillId="6" borderId="24" xfId="0" applyNumberFormat="1" applyFont="1" applyFill="1" applyBorder="1" applyAlignment="1" applyProtection="1">
      <alignment vertical="center"/>
      <protection locked="0"/>
    </xf>
    <xf numFmtId="165" fontId="20" fillId="6" borderId="2" xfId="0" applyNumberFormat="1" applyFont="1" applyFill="1" applyBorder="1" applyAlignment="1" applyProtection="1">
      <alignment vertical="center"/>
      <protection locked="0"/>
    </xf>
    <xf numFmtId="165" fontId="20" fillId="6" borderId="25" xfId="0" applyNumberFormat="1" applyFont="1" applyFill="1" applyBorder="1" applyAlignment="1" applyProtection="1">
      <alignment vertical="center"/>
      <protection locked="0"/>
    </xf>
    <xf numFmtId="0" fontId="9" fillId="6" borderId="26" xfId="0" applyFont="1" applyFill="1" applyBorder="1" applyAlignment="1">
      <alignment horizontal="right" vertical="center"/>
    </xf>
    <xf numFmtId="165" fontId="9" fillId="6" borderId="27" xfId="0" applyNumberFormat="1" applyFont="1" applyFill="1" applyBorder="1" applyAlignment="1" applyProtection="1">
      <alignment vertical="center"/>
      <protection locked="0"/>
    </xf>
    <xf numFmtId="10" fontId="9" fillId="0" borderId="27" xfId="2" applyNumberFormat="1" applyFont="1" applyFill="1" applyBorder="1" applyAlignment="1" applyProtection="1">
      <alignment vertical="center"/>
      <protection locked="0"/>
    </xf>
    <xf numFmtId="10" fontId="20" fillId="0" borderId="27" xfId="2" applyNumberFormat="1" applyFont="1" applyFill="1" applyBorder="1" applyAlignment="1" applyProtection="1">
      <alignment vertical="center"/>
      <protection locked="0"/>
    </xf>
    <xf numFmtId="9" fontId="20" fillId="0" borderId="27" xfId="2" applyFont="1" applyFill="1" applyBorder="1" applyAlignment="1" applyProtection="1">
      <alignment vertical="center"/>
      <protection locked="0"/>
    </xf>
    <xf numFmtId="9" fontId="20" fillId="0" borderId="28" xfId="2" applyFont="1" applyFill="1" applyBorder="1" applyAlignment="1" applyProtection="1">
      <alignment vertical="center"/>
      <protection locked="0"/>
    </xf>
    <xf numFmtId="9" fontId="20" fillId="6" borderId="26" xfId="2" applyFont="1" applyFill="1" applyBorder="1" applyAlignment="1" applyProtection="1">
      <alignment vertical="center"/>
      <protection locked="0"/>
    </xf>
    <xf numFmtId="9" fontId="20" fillId="6" borderId="27" xfId="2" applyFont="1" applyFill="1" applyBorder="1" applyAlignment="1" applyProtection="1">
      <alignment vertical="center"/>
      <protection locked="0"/>
    </xf>
    <xf numFmtId="9" fontId="20" fillId="6" borderId="28" xfId="2" applyFont="1" applyFill="1" applyBorder="1" applyAlignment="1" applyProtection="1">
      <alignment vertical="center"/>
      <protection locked="0"/>
    </xf>
    <xf numFmtId="0" fontId="9" fillId="0" borderId="0" xfId="0" applyFont="1" applyAlignment="1">
      <alignment horizontal="right"/>
    </xf>
    <xf numFmtId="10" fontId="21" fillId="0" borderId="0" xfId="0" applyNumberFormat="1" applyFont="1"/>
    <xf numFmtId="0" fontId="9" fillId="0" borderId="0" xfId="0" applyFont="1"/>
    <xf numFmtId="0" fontId="4" fillId="0" borderId="0" xfId="0" applyFont="1" applyAlignment="1">
      <alignment wrapText="1"/>
    </xf>
    <xf numFmtId="0" fontId="8" fillId="0" borderId="0" xfId="0" applyFont="1" applyAlignment="1">
      <alignment wrapText="1"/>
    </xf>
    <xf numFmtId="166" fontId="8" fillId="0" borderId="0" xfId="1" applyNumberFormat="1" applyFont="1"/>
    <xf numFmtId="166" fontId="4" fillId="0" borderId="0" xfId="1" applyNumberFormat="1" applyFont="1"/>
    <xf numFmtId="0" fontId="0" fillId="0" borderId="1" xfId="0" applyBorder="1" applyAlignment="1">
      <alignment horizontal="center" vertical="center"/>
    </xf>
    <xf numFmtId="166" fontId="9" fillId="0" borderId="1" xfId="1"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xf>
    <xf numFmtId="0" fontId="23" fillId="2" borderId="1" xfId="7" applyFont="1" applyFill="1" applyBorder="1" applyAlignment="1">
      <alignment horizontal="left" vertical="center" wrapText="1"/>
    </xf>
    <xf numFmtId="166" fontId="4" fillId="0" borderId="1" xfId="1" applyNumberFormat="1" applyFont="1" applyBorder="1"/>
    <xf numFmtId="166" fontId="4" fillId="7" borderId="1" xfId="1" applyNumberFormat="1" applyFont="1" applyFill="1" applyBorder="1"/>
    <xf numFmtId="0" fontId="24" fillId="0" borderId="1" xfId="7" applyFont="1" applyBorder="1" applyAlignment="1">
      <alignment horizontal="left" vertical="center" wrapText="1" indent="1"/>
    </xf>
    <xf numFmtId="166" fontId="4" fillId="0" borderId="1" xfId="1" applyNumberFormat="1" applyFont="1" applyFill="1" applyBorder="1"/>
    <xf numFmtId="0" fontId="25" fillId="2" borderId="1" xfId="7" applyFont="1" applyFill="1" applyBorder="1" applyAlignment="1">
      <alignment horizontal="left" vertical="center" wrapText="1"/>
    </xf>
    <xf numFmtId="0" fontId="24" fillId="2" borderId="1" xfId="7" applyFont="1" applyFill="1" applyBorder="1" applyAlignment="1">
      <alignment horizontal="left" vertical="center" wrapText="1" indent="1"/>
    </xf>
    <xf numFmtId="0" fontId="23" fillId="0" borderId="31" xfId="0" applyFont="1" applyBorder="1" applyAlignment="1">
      <alignment horizontal="left" vertical="center" wrapText="1"/>
    </xf>
    <xf numFmtId="0" fontId="25" fillId="0" borderId="31" xfId="0" applyFont="1" applyBorder="1" applyAlignment="1">
      <alignment horizontal="left" vertical="center" wrapText="1"/>
    </xf>
    <xf numFmtId="166" fontId="4" fillId="0" borderId="1" xfId="1" applyNumberFormat="1" applyFont="1" applyBorder="1" applyAlignment="1">
      <alignment vertical="center"/>
    </xf>
    <xf numFmtId="166" fontId="4" fillId="7" borderId="1" xfId="1" applyNumberFormat="1" applyFont="1" applyFill="1" applyBorder="1" applyAlignment="1">
      <alignment vertical="center"/>
    </xf>
    <xf numFmtId="0" fontId="26" fillId="2" borderId="31" xfId="0" applyFont="1" applyFill="1" applyBorder="1" applyAlignment="1">
      <alignment horizontal="left" vertical="center" wrapText="1" indent="1"/>
    </xf>
    <xf numFmtId="0" fontId="25" fillId="2" borderId="31" xfId="0" applyFont="1" applyFill="1" applyBorder="1" applyAlignment="1">
      <alignment vertical="top" wrapText="1"/>
    </xf>
    <xf numFmtId="0" fontId="25" fillId="2" borderId="32" xfId="0" applyFont="1" applyFill="1" applyBorder="1" applyAlignment="1">
      <alignment horizontal="left" vertical="center" wrapText="1"/>
    </xf>
    <xf numFmtId="0" fontId="26" fillId="0" borderId="31" xfId="0" applyFont="1" applyBorder="1" applyAlignment="1">
      <alignment horizontal="left" vertical="center" wrapText="1" indent="1"/>
    </xf>
    <xf numFmtId="0" fontId="26" fillId="0" borderId="1" xfId="7" applyFont="1" applyBorder="1" applyAlignment="1">
      <alignment horizontal="left" vertical="center" wrapText="1" indent="1"/>
    </xf>
    <xf numFmtId="0" fontId="25" fillId="0" borderId="1" xfId="7" applyFont="1" applyBorder="1" applyAlignment="1">
      <alignment horizontal="left" vertical="center" wrapText="1"/>
    </xf>
    <xf numFmtId="166" fontId="0" fillId="0" borderId="0" xfId="0" applyNumberFormat="1"/>
    <xf numFmtId="0" fontId="27" fillId="0" borderId="1" xfId="7" applyFont="1" applyBorder="1" applyAlignment="1">
      <alignment horizontal="center" vertical="center" wrapText="1"/>
    </xf>
    <xf numFmtId="0" fontId="25" fillId="2" borderId="33" xfId="0" applyFont="1" applyFill="1" applyBorder="1" applyAlignment="1">
      <alignment horizontal="left" vertical="center" wrapText="1"/>
    </xf>
    <xf numFmtId="0" fontId="25" fillId="2" borderId="31" xfId="0" applyFont="1" applyFill="1" applyBorder="1" applyAlignment="1">
      <alignment horizontal="left" vertical="center" wrapText="1"/>
    </xf>
    <xf numFmtId="43" fontId="0" fillId="0" borderId="0" xfId="0" applyNumberFormat="1"/>
    <xf numFmtId="0" fontId="24" fillId="2" borderId="31" xfId="0" applyFont="1" applyFill="1" applyBorder="1" applyAlignment="1">
      <alignment horizontal="left" vertical="center" wrapText="1" indent="1"/>
    </xf>
    <xf numFmtId="0" fontId="24" fillId="0" borderId="31" xfId="0" applyFont="1" applyBorder="1" applyAlignment="1">
      <alignment horizontal="left" vertical="center" wrapText="1" indent="1"/>
    </xf>
    <xf numFmtId="0" fontId="24" fillId="0" borderId="32" xfId="0" applyFont="1" applyBorder="1" applyAlignment="1">
      <alignment horizontal="left" vertical="center" wrapText="1" indent="1"/>
    </xf>
    <xf numFmtId="0" fontId="28" fillId="0" borderId="1" xfId="0" applyFont="1" applyBorder="1" applyAlignment="1">
      <alignment horizontal="left"/>
    </xf>
    <xf numFmtId="0" fontId="25"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9" fillId="0" borderId="1" xfId="0" applyFont="1" applyBorder="1" applyAlignment="1">
      <alignment horizontal="center" vertical="center" wrapText="1"/>
    </xf>
    <xf numFmtId="0" fontId="25" fillId="0" borderId="36" xfId="0" applyFont="1" applyBorder="1" applyAlignment="1">
      <alignment horizontal="justify" vertical="center" wrapText="1"/>
    </xf>
    <xf numFmtId="43" fontId="0" fillId="0" borderId="1" xfId="1" applyFont="1" applyBorder="1"/>
    <xf numFmtId="43" fontId="0" fillId="7" borderId="1" xfId="1" applyFont="1" applyFill="1" applyBorder="1"/>
    <xf numFmtId="0" fontId="24" fillId="0" borderId="33" xfId="0" applyFont="1" applyBorder="1" applyAlignment="1">
      <alignment horizontal="left" vertical="center" wrapText="1" indent="1"/>
    </xf>
    <xf numFmtId="0" fontId="25" fillId="0" borderId="31" xfId="0" applyFont="1" applyBorder="1" applyAlignment="1">
      <alignment horizontal="justify" vertical="center" wrapText="1"/>
    </xf>
    <xf numFmtId="0" fontId="25" fillId="0" borderId="31" xfId="0" applyFont="1" applyBorder="1" applyAlignment="1">
      <alignment vertical="top" wrapText="1"/>
    </xf>
    <xf numFmtId="0" fontId="23" fillId="0" borderId="31" xfId="0" applyFont="1" applyBorder="1" applyAlignment="1">
      <alignment horizontal="justify" vertical="center" wrapText="1"/>
    </xf>
    <xf numFmtId="0" fontId="25" fillId="2" borderId="31" xfId="0" applyFont="1" applyFill="1" applyBorder="1" applyAlignment="1">
      <alignment horizontal="justify" vertical="center" wrapText="1"/>
    </xf>
    <xf numFmtId="166" fontId="0" fillId="0" borderId="1" xfId="1" applyNumberFormat="1" applyFont="1" applyFill="1" applyBorder="1"/>
    <xf numFmtId="166" fontId="0" fillId="0" borderId="1" xfId="1" applyNumberFormat="1" applyFont="1" applyBorder="1"/>
    <xf numFmtId="0" fontId="25" fillId="0" borderId="32" xfId="0" applyFont="1" applyBorder="1" applyAlignment="1">
      <alignment horizontal="justify" vertical="center" wrapText="1"/>
    </xf>
    <xf numFmtId="0" fontId="25" fillId="0" borderId="33" xfId="0" applyFont="1" applyBorder="1" applyAlignment="1">
      <alignment horizontal="justify" vertical="center" wrapText="1"/>
    </xf>
    <xf numFmtId="166" fontId="0" fillId="7" borderId="1" xfId="1" applyNumberFormat="1" applyFont="1" applyFill="1" applyBorder="1"/>
    <xf numFmtId="0" fontId="25" fillId="0" borderId="1" xfId="7" applyFont="1" applyBorder="1" applyAlignment="1">
      <alignment horizontal="justify" vertical="center" wrapText="1"/>
    </xf>
    <xf numFmtId="0" fontId="26" fillId="0" borderId="37" xfId="0" applyFont="1" applyBorder="1" applyAlignment="1">
      <alignment horizontal="left" vertical="center" wrapText="1" indent="1"/>
    </xf>
    <xf numFmtId="0" fontId="23" fillId="0" borderId="31" xfId="0" applyFont="1" applyBorder="1" applyAlignment="1">
      <alignment vertical="center" wrapText="1"/>
    </xf>
    <xf numFmtId="168" fontId="0" fillId="0" borderId="1" xfId="1" applyNumberFormat="1" applyFont="1" applyBorder="1"/>
    <xf numFmtId="168" fontId="0" fillId="0" borderId="1" xfId="1" applyNumberFormat="1" applyFont="1" applyFill="1" applyBorder="1"/>
    <xf numFmtId="0" fontId="25" fillId="0" borderId="31" xfId="0" applyFont="1" applyBorder="1" applyAlignment="1">
      <alignment vertical="center" wrapText="1"/>
    </xf>
    <xf numFmtId="0" fontId="25" fillId="0" borderId="1" xfId="7" applyFont="1" applyBorder="1" applyAlignment="1">
      <alignment vertical="center" wrapText="1"/>
    </xf>
    <xf numFmtId="0" fontId="14" fillId="0" borderId="11" xfId="0" applyFont="1" applyBorder="1" applyAlignment="1">
      <alignment horizontal="center"/>
    </xf>
    <xf numFmtId="0" fontId="9" fillId="0" borderId="19" xfId="0" applyFont="1" applyBorder="1" applyAlignment="1">
      <alignment horizontal="center" vertical="center" wrapText="1"/>
    </xf>
    <xf numFmtId="0" fontId="15" fillId="0" borderId="1" xfId="0" applyFont="1" applyBorder="1" applyAlignment="1">
      <alignment vertical="center" wrapText="1"/>
    </xf>
    <xf numFmtId="165" fontId="9" fillId="0" borderId="1" xfId="0" applyNumberFormat="1" applyFont="1" applyBorder="1" applyAlignment="1">
      <alignment horizontal="right"/>
    </xf>
    <xf numFmtId="165" fontId="9" fillId="7" borderId="1" xfId="0" applyNumberFormat="1" applyFont="1" applyFill="1" applyBorder="1" applyAlignment="1">
      <alignment horizontal="right"/>
    </xf>
    <xf numFmtId="165" fontId="9" fillId="7" borderId="19" xfId="0" applyNumberFormat="1" applyFont="1" applyFill="1" applyBorder="1" applyAlignment="1">
      <alignment horizontal="right"/>
    </xf>
    <xf numFmtId="0" fontId="8" fillId="0" borderId="1" xfId="0" applyFont="1" applyBorder="1" applyAlignment="1">
      <alignment horizontal="left" vertical="center" wrapText="1" indent="1"/>
    </xf>
    <xf numFmtId="0" fontId="3" fillId="0" borderId="1" xfId="0" applyFont="1" applyBorder="1" applyAlignment="1">
      <alignment vertical="center"/>
    </xf>
    <xf numFmtId="0" fontId="29" fillId="0" borderId="1" xfId="0" applyFont="1" applyBorder="1" applyAlignment="1" applyProtection="1">
      <alignment horizontal="left" vertical="center" indent="1"/>
      <protection locked="0"/>
    </xf>
    <xf numFmtId="0" fontId="30" fillId="0" borderId="1" xfId="0" applyFont="1" applyBorder="1" applyAlignment="1" applyProtection="1">
      <alignment horizontal="left" vertical="center" indent="3"/>
      <protection locked="0"/>
    </xf>
    <xf numFmtId="0" fontId="31" fillId="0" borderId="1" xfId="0" applyFont="1" applyBorder="1" applyAlignment="1" applyProtection="1">
      <alignment horizontal="left" vertical="center" indent="3"/>
      <protection locked="0"/>
    </xf>
    <xf numFmtId="0" fontId="31" fillId="0" borderId="1" xfId="0" applyFont="1" applyBorder="1" applyAlignment="1" applyProtection="1">
      <alignment vertical="top" wrapText="1"/>
      <protection locked="0"/>
    </xf>
    <xf numFmtId="0" fontId="3" fillId="0" borderId="1" xfId="0" applyFont="1" applyBorder="1"/>
    <xf numFmtId="165" fontId="9" fillId="0" borderId="0" xfId="0" applyNumberFormat="1" applyFont="1" applyAlignment="1">
      <alignment horizontal="right"/>
    </xf>
    <xf numFmtId="0" fontId="32" fillId="0" borderId="0" xfId="0" applyFont="1"/>
    <xf numFmtId="0" fontId="4" fillId="0" borderId="5" xfId="0" applyFont="1" applyBorder="1"/>
    <xf numFmtId="0" fontId="33" fillId="0" borderId="5" xfId="0" applyFont="1" applyBorder="1" applyAlignment="1">
      <alignment horizontal="center"/>
    </xf>
    <xf numFmtId="0" fontId="34" fillId="0" borderId="5" xfId="0" applyFont="1" applyBorder="1" applyAlignment="1">
      <alignment horizontal="center"/>
    </xf>
    <xf numFmtId="0" fontId="4" fillId="0" borderId="38" xfId="0" applyFont="1" applyBorder="1" applyAlignment="1">
      <alignment vertical="center" wrapText="1"/>
    </xf>
    <xf numFmtId="0" fontId="33" fillId="0" borderId="29" xfId="0" applyFont="1" applyBorder="1" applyAlignment="1">
      <alignment vertical="center" wrapText="1"/>
    </xf>
    <xf numFmtId="0" fontId="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4" fillId="0" borderId="1" xfId="0" applyFont="1" applyBorder="1" applyAlignment="1">
      <alignment vertical="center" wrapText="1"/>
    </xf>
    <xf numFmtId="3" fontId="36" fillId="7" borderId="1" xfId="0" applyNumberFormat="1" applyFont="1" applyFill="1" applyBorder="1" applyAlignment="1">
      <alignment vertical="center" wrapText="1"/>
    </xf>
    <xf numFmtId="3" fontId="36" fillId="7" borderId="22" xfId="0" applyNumberFormat="1" applyFont="1" applyFill="1" applyBorder="1" applyAlignment="1">
      <alignment vertical="center" wrapText="1"/>
    </xf>
    <xf numFmtId="166" fontId="37" fillId="8" borderId="0" xfId="1" applyNumberFormat="1" applyFont="1" applyFill="1"/>
    <xf numFmtId="14" fontId="8" fillId="2" borderId="1" xfId="8" quotePrefix="1" applyNumberFormat="1" applyFont="1" applyFill="1" applyBorder="1" applyAlignment="1" applyProtection="1">
      <alignment horizontal="left" vertical="center" wrapText="1" indent="2"/>
      <protection locked="0"/>
    </xf>
    <xf numFmtId="3" fontId="36" fillId="0" borderId="1" xfId="0" applyNumberFormat="1" applyFont="1" applyBorder="1" applyAlignment="1">
      <alignment vertical="center" wrapText="1"/>
    </xf>
    <xf numFmtId="3" fontId="36" fillId="0" borderId="22" xfId="0" applyNumberFormat="1" applyFont="1" applyBorder="1" applyAlignment="1">
      <alignment vertical="center" wrapText="1"/>
    </xf>
    <xf numFmtId="14" fontId="8" fillId="2" borderId="1" xfId="8" quotePrefix="1" applyNumberFormat="1" applyFont="1" applyFill="1" applyBorder="1" applyAlignment="1" applyProtection="1">
      <alignment horizontal="left" vertical="center" wrapText="1" indent="3"/>
      <protection locked="0"/>
    </xf>
    <xf numFmtId="0" fontId="4" fillId="0" borderId="1" xfId="0" applyFont="1" applyBorder="1" applyAlignment="1">
      <alignment horizontal="left" vertical="center" wrapText="1" indent="2"/>
    </xf>
    <xf numFmtId="0" fontId="35" fillId="0" borderId="26" xfId="0" applyFont="1" applyBorder="1" applyAlignment="1">
      <alignment horizontal="center" vertical="center" wrapText="1"/>
    </xf>
    <xf numFmtId="0" fontId="33" fillId="0" borderId="27" xfId="0" applyFont="1" applyBorder="1" applyAlignment="1">
      <alignment vertical="center" wrapText="1"/>
    </xf>
    <xf numFmtId="3" fontId="36" fillId="7" borderId="27" xfId="0" applyNumberFormat="1" applyFont="1" applyFill="1" applyBorder="1" applyAlignment="1">
      <alignment vertical="center" wrapText="1"/>
    </xf>
    <xf numFmtId="3" fontId="36" fillId="7" borderId="40" xfId="0" applyNumberFormat="1" applyFont="1" applyFill="1" applyBorder="1" applyAlignment="1">
      <alignment vertical="center" wrapText="1"/>
    </xf>
    <xf numFmtId="3" fontId="4" fillId="0" borderId="0" xfId="0" applyNumberFormat="1" applyFont="1"/>
    <xf numFmtId="0" fontId="4" fillId="0" borderId="0" xfId="0" applyFont="1" applyAlignment="1">
      <alignment vertical="top" wrapText="1"/>
    </xf>
    <xf numFmtId="0" fontId="9" fillId="0" borderId="0" xfId="0" applyFont="1" applyAlignment="1">
      <alignment horizontal="left" wrapText="1"/>
    </xf>
    <xf numFmtId="0" fontId="9" fillId="0" borderId="9" xfId="0" applyFont="1" applyBorder="1"/>
    <xf numFmtId="0" fontId="14" fillId="0" borderId="41" xfId="0" applyFont="1" applyBorder="1" applyAlignment="1">
      <alignment horizontal="center" wrapText="1"/>
    </xf>
    <xf numFmtId="0" fontId="9" fillId="0" borderId="12" xfId="0" applyFont="1" applyBorder="1" applyAlignment="1">
      <alignment vertical="center"/>
    </xf>
    <xf numFmtId="0" fontId="39" fillId="0" borderId="20" xfId="0" applyFont="1" applyBorder="1" applyAlignment="1">
      <alignment wrapText="1"/>
    </xf>
    <xf numFmtId="0" fontId="4" fillId="0" borderId="19" xfId="0" applyFont="1" applyBorder="1"/>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20" xfId="0" applyFont="1" applyBorder="1" applyAlignment="1">
      <alignment wrapText="1"/>
    </xf>
    <xf numFmtId="0" fontId="9" fillId="0" borderId="19" xfId="0" applyFont="1" applyBorder="1" applyAlignment="1">
      <alignment wrapText="1"/>
    </xf>
    <xf numFmtId="0" fontId="9" fillId="0" borderId="20" xfId="0" applyFont="1" applyBorder="1" applyAlignment="1">
      <alignment vertical="top" wrapText="1"/>
    </xf>
    <xf numFmtId="0" fontId="9" fillId="0" borderId="22" xfId="0" applyFont="1" applyBorder="1" applyAlignment="1">
      <alignment wrapText="1"/>
    </xf>
    <xf numFmtId="10" fontId="4" fillId="0" borderId="22" xfId="2" applyNumberFormat="1" applyFont="1" applyBorder="1" applyAlignment="1">
      <alignment horizontal="center"/>
    </xf>
    <xf numFmtId="0" fontId="4" fillId="0" borderId="22" xfId="0" applyFont="1" applyBorder="1"/>
    <xf numFmtId="10" fontId="4" fillId="0" borderId="19" xfId="2" applyNumberFormat="1" applyFont="1" applyBorder="1"/>
    <xf numFmtId="0" fontId="9" fillId="0" borderId="24" xfId="0" applyFont="1" applyBorder="1" applyAlignment="1">
      <alignment vertical="center"/>
    </xf>
    <xf numFmtId="0" fontId="39" fillId="0" borderId="3" xfId="0" applyFont="1" applyBorder="1" applyAlignment="1">
      <alignment wrapText="1"/>
    </xf>
    <xf numFmtId="10" fontId="4" fillId="0" borderId="25" xfId="2" applyNumberFormat="1" applyFont="1" applyBorder="1"/>
    <xf numFmtId="0" fontId="9" fillId="0" borderId="24" xfId="0" applyFont="1" applyBorder="1" applyAlignment="1">
      <alignment horizontal="right" vertical="center"/>
    </xf>
    <xf numFmtId="0" fontId="9" fillId="0" borderId="26" xfId="0" applyFont="1" applyBorder="1"/>
    <xf numFmtId="0" fontId="39" fillId="0" borderId="39" xfId="0" applyFont="1" applyBorder="1" applyAlignment="1">
      <alignment wrapText="1"/>
    </xf>
    <xf numFmtId="0" fontId="4" fillId="0" borderId="28" xfId="0" applyFont="1" applyBorder="1"/>
    <xf numFmtId="0" fontId="2" fillId="0" borderId="0" xfId="0" applyFont="1"/>
    <xf numFmtId="0" fontId="40" fillId="0" borderId="0" xfId="5" applyFont="1"/>
    <xf numFmtId="0" fontId="9" fillId="0" borderId="5" xfId="5" applyFont="1" applyBorder="1"/>
    <xf numFmtId="0" fontId="15" fillId="0" borderId="5" xfId="5" applyFont="1" applyBorder="1" applyAlignment="1">
      <alignment horizontal="left" vertical="center"/>
    </xf>
    <xf numFmtId="0" fontId="9" fillId="0" borderId="0" xfId="5" applyFont="1" applyAlignment="1">
      <alignment horizontal="left"/>
    </xf>
    <xf numFmtId="0" fontId="34" fillId="0" borderId="0" xfId="5" applyFont="1" applyAlignment="1">
      <alignment horizontal="right"/>
    </xf>
    <xf numFmtId="0" fontId="8" fillId="0" borderId="9" xfId="5" applyFont="1" applyBorder="1" applyAlignment="1">
      <alignment vertical="center"/>
    </xf>
    <xf numFmtId="0" fontId="8" fillId="0" borderId="10" xfId="5" applyFont="1" applyBorder="1" applyAlignment="1">
      <alignment vertical="center"/>
    </xf>
    <xf numFmtId="0" fontId="15" fillId="0" borderId="10" xfId="5" applyFont="1" applyBorder="1" applyAlignment="1">
      <alignment horizontal="center" vertical="center"/>
    </xf>
    <xf numFmtId="0" fontId="15" fillId="0" borderId="11" xfId="5" applyFont="1" applyBorder="1" applyAlignment="1">
      <alignment horizontal="center" vertical="center"/>
    </xf>
    <xf numFmtId="0" fontId="21" fillId="0" borderId="0" xfId="5" applyFont="1" applyAlignment="1">
      <alignment vertical="center"/>
    </xf>
    <xf numFmtId="0" fontId="8" fillId="0" borderId="0" xfId="5" applyFont="1" applyAlignment="1">
      <alignment vertical="center"/>
    </xf>
    <xf numFmtId="0" fontId="0" fillId="0" borderId="12" xfId="0" applyBorder="1"/>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2" xfId="0" applyFont="1" applyBorder="1" applyAlignment="1">
      <alignment horizontal="center" vertical="center" wrapText="1"/>
    </xf>
    <xf numFmtId="43" fontId="4" fillId="0" borderId="1" xfId="1" applyFont="1" applyFill="1" applyBorder="1" applyAlignment="1">
      <alignment vertical="center" wrapText="1"/>
    </xf>
    <xf numFmtId="43" fontId="2" fillId="0" borderId="0" xfId="0" applyNumberFormat="1" applyFont="1"/>
    <xf numFmtId="43" fontId="4" fillId="0" borderId="1" xfId="1" applyFont="1" applyBorder="1" applyAlignment="1">
      <alignment vertical="center"/>
    </xf>
    <xf numFmtId="0" fontId="26" fillId="2" borderId="31" xfId="0" applyFont="1" applyFill="1" applyBorder="1" applyAlignment="1">
      <alignment vertical="top" wrapText="1"/>
    </xf>
    <xf numFmtId="0" fontId="0" fillId="0" borderId="26" xfId="0" applyBorder="1"/>
    <xf numFmtId="0" fontId="33" fillId="7" borderId="43" xfId="0" applyFont="1" applyFill="1" applyBorder="1" applyAlignment="1">
      <alignment vertical="center" wrapText="1"/>
    </xf>
    <xf numFmtId="169" fontId="33" fillId="7" borderId="27" xfId="0" applyNumberFormat="1"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15" fillId="0" borderId="0" xfId="5" applyFont="1" applyAlignment="1">
      <alignment horizontal="center" vertical="center" wrapText="1"/>
    </xf>
    <xf numFmtId="0" fontId="0" fillId="0" borderId="9" xfId="0" applyBorder="1" applyAlignment="1">
      <alignment horizontal="center" vertical="center"/>
    </xf>
    <xf numFmtId="0" fontId="33" fillId="7" borderId="44" xfId="0" applyFont="1" applyFill="1" applyBorder="1" applyAlignment="1">
      <alignment wrapText="1"/>
    </xf>
    <xf numFmtId="165" fontId="0" fillId="7" borderId="11" xfId="0" applyNumberFormat="1" applyFill="1" applyBorder="1" applyAlignment="1">
      <alignment horizontal="center" vertical="center"/>
    </xf>
    <xf numFmtId="0" fontId="4" fillId="0" borderId="12" xfId="0" applyFont="1" applyBorder="1" applyAlignment="1">
      <alignment horizontal="center" vertical="center"/>
    </xf>
    <xf numFmtId="0" fontId="4" fillId="0" borderId="21" xfId="0" applyFont="1" applyBorder="1"/>
    <xf numFmtId="165" fontId="0" fillId="0" borderId="19" xfId="0" applyNumberFormat="1" applyBorder="1"/>
    <xf numFmtId="0" fontId="4" fillId="0" borderId="12" xfId="0" applyFont="1" applyBorder="1" applyAlignment="1">
      <alignment horizontal="center" vertical="center" wrapText="1"/>
    </xf>
    <xf numFmtId="0" fontId="4" fillId="0" borderId="21" xfId="0" applyFont="1" applyBorder="1" applyAlignment="1">
      <alignment vertical="center" wrapText="1"/>
    </xf>
    <xf numFmtId="165" fontId="0" fillId="0" borderId="19" xfId="0" applyNumberFormat="1" applyBorder="1" applyAlignment="1">
      <alignment wrapText="1"/>
    </xf>
    <xf numFmtId="0" fontId="0" fillId="0" borderId="0" xfId="0" applyAlignment="1">
      <alignment wrapText="1"/>
    </xf>
    <xf numFmtId="0" fontId="33" fillId="7" borderId="21" xfId="0" applyFont="1" applyFill="1" applyBorder="1" applyAlignment="1">
      <alignment wrapText="1"/>
    </xf>
    <xf numFmtId="165" fontId="0" fillId="7" borderId="19" xfId="0" applyNumberFormat="1" applyFill="1" applyBorder="1" applyAlignment="1">
      <alignment horizontal="center" vertical="center" wrapText="1"/>
    </xf>
    <xf numFmtId="0" fontId="4" fillId="0" borderId="21" xfId="0" applyFont="1" applyBorder="1" applyAlignment="1">
      <alignment vertical="center"/>
    </xf>
    <xf numFmtId="0" fontId="4" fillId="0" borderId="21" xfId="0" applyFont="1" applyBorder="1" applyAlignment="1">
      <alignment wrapText="1"/>
    </xf>
    <xf numFmtId="0" fontId="4" fillId="0" borderId="26" xfId="0" applyFont="1" applyBorder="1" applyAlignment="1">
      <alignment horizontal="center" vertical="center" wrapText="1"/>
    </xf>
    <xf numFmtId="0" fontId="33" fillId="7" borderId="45" xfId="0" applyFont="1" applyFill="1" applyBorder="1" applyAlignment="1">
      <alignment wrapText="1"/>
    </xf>
    <xf numFmtId="165" fontId="0" fillId="7" borderId="28" xfId="0" applyNumberFormat="1" applyFill="1" applyBorder="1" applyAlignment="1">
      <alignment horizontal="center" vertical="center" wrapText="1"/>
    </xf>
    <xf numFmtId="3" fontId="0" fillId="0" borderId="0" xfId="0" applyNumberFormat="1"/>
    <xf numFmtId="0" fontId="4" fillId="0" borderId="0" xfId="0" applyFont="1" applyAlignment="1">
      <alignment horizontal="center" vertical="center"/>
    </xf>
    <xf numFmtId="0" fontId="7" fillId="0" borderId="0" xfId="0" applyFont="1" applyAlignment="1">
      <alignment horizontal="center" vertical="center"/>
    </xf>
    <xf numFmtId="0" fontId="33" fillId="0" borderId="0" xfId="0" applyFont="1" applyAlignment="1">
      <alignment horizontal="center"/>
    </xf>
    <xf numFmtId="0" fontId="8" fillId="0" borderId="9" xfId="9" applyFont="1" applyBorder="1" applyAlignment="1" applyProtection="1">
      <alignment horizontal="center" vertical="center"/>
      <protection locked="0"/>
    </xf>
    <xf numFmtId="0" fontId="15" fillId="2" borderId="46" xfId="9" applyFont="1" applyFill="1" applyBorder="1" applyAlignment="1" applyProtection="1">
      <alignment horizontal="center" vertical="center" wrapText="1"/>
      <protection locked="0"/>
    </xf>
    <xf numFmtId="166" fontId="8" fillId="2" borderId="11" xfId="10" applyNumberFormat="1" applyFont="1" applyFill="1" applyBorder="1" applyAlignment="1" applyProtection="1">
      <alignment horizontal="center" vertical="center"/>
      <protection locked="0"/>
    </xf>
    <xf numFmtId="0" fontId="8" fillId="0" borderId="12" xfId="9" applyFont="1" applyBorder="1" applyAlignment="1" applyProtection="1">
      <alignment horizontal="center" vertical="center"/>
      <protection locked="0"/>
    </xf>
    <xf numFmtId="0" fontId="33" fillId="7" borderId="1" xfId="0" applyFont="1" applyFill="1" applyBorder="1" applyAlignment="1">
      <alignment horizontal="left" vertical="top" wrapText="1"/>
    </xf>
    <xf numFmtId="165" fontId="8" fillId="7" borderId="19" xfId="10" applyNumberFormat="1" applyFont="1" applyFill="1" applyBorder="1" applyAlignment="1" applyProtection="1">
      <alignment vertical="top"/>
    </xf>
    <xf numFmtId="0" fontId="8" fillId="2" borderId="29" xfId="11" applyFont="1" applyFill="1" applyBorder="1" applyAlignment="1" applyProtection="1">
      <alignment vertical="center" wrapText="1"/>
      <protection locked="0"/>
    </xf>
    <xf numFmtId="165" fontId="8" fillId="2" borderId="19" xfId="10" applyNumberFormat="1" applyFont="1" applyFill="1" applyBorder="1" applyAlignment="1" applyProtection="1">
      <alignment vertical="top"/>
      <protection locked="0"/>
    </xf>
    <xf numFmtId="0" fontId="8" fillId="2" borderId="1" xfId="11" applyFont="1" applyFill="1" applyBorder="1" applyAlignment="1" applyProtection="1">
      <alignment vertical="center" wrapText="1"/>
      <protection locked="0"/>
    </xf>
    <xf numFmtId="0" fontId="8" fillId="2" borderId="2" xfId="11" applyFont="1" applyFill="1" applyBorder="1" applyAlignment="1" applyProtection="1">
      <alignment vertical="center" wrapText="1"/>
      <protection locked="0"/>
    </xf>
    <xf numFmtId="165" fontId="8" fillId="7" borderId="19" xfId="10" applyNumberFormat="1" applyFont="1" applyFill="1" applyBorder="1" applyAlignment="1" applyProtection="1">
      <alignment vertical="top" wrapText="1"/>
    </xf>
    <xf numFmtId="0" fontId="8" fillId="2" borderId="29" xfId="11" applyFont="1" applyFill="1" applyBorder="1" applyAlignment="1" applyProtection="1">
      <alignment horizontal="left" vertical="center" wrapText="1"/>
      <protection locked="0"/>
    </xf>
    <xf numFmtId="165" fontId="8" fillId="2" borderId="19" xfId="10" applyNumberFormat="1" applyFont="1" applyFill="1" applyBorder="1" applyAlignment="1" applyProtection="1">
      <alignment vertical="top" wrapText="1"/>
      <protection locked="0"/>
    </xf>
    <xf numFmtId="0" fontId="8" fillId="2" borderId="1" xfId="11" applyFont="1" applyFill="1" applyBorder="1" applyAlignment="1" applyProtection="1">
      <alignment horizontal="left" vertical="center" wrapText="1"/>
      <protection locked="0"/>
    </xf>
    <xf numFmtId="0" fontId="8" fillId="2" borderId="1" xfId="9" applyFont="1" applyFill="1" applyBorder="1" applyAlignment="1" applyProtection="1">
      <alignment horizontal="left" vertical="center" wrapText="1"/>
      <protection locked="0"/>
    </xf>
    <xf numFmtId="0" fontId="8" fillId="0" borderId="1" xfId="11" applyFont="1" applyBorder="1" applyAlignment="1" applyProtection="1">
      <alignment horizontal="left" vertical="center" wrapText="1"/>
      <protection locked="0"/>
    </xf>
    <xf numFmtId="0" fontId="8" fillId="0" borderId="0" xfId="11" applyFont="1" applyAlignment="1" applyProtection="1">
      <alignment vertical="top" wrapText="1"/>
      <protection locked="0"/>
    </xf>
    <xf numFmtId="0" fontId="8" fillId="0" borderId="1" xfId="11" applyFont="1" applyBorder="1" applyAlignment="1" applyProtection="1">
      <alignment wrapText="1"/>
      <protection locked="0"/>
    </xf>
    <xf numFmtId="1" fontId="15" fillId="7" borderId="1" xfId="10" applyNumberFormat="1" applyFont="1" applyFill="1" applyBorder="1" applyAlignment="1" applyProtection="1">
      <alignment horizontal="left" vertical="top" wrapText="1"/>
    </xf>
    <xf numFmtId="166" fontId="0" fillId="0" borderId="0" xfId="1" applyNumberFormat="1" applyFont="1" applyAlignment="1">
      <alignment wrapText="1"/>
    </xf>
    <xf numFmtId="0" fontId="8" fillId="0" borderId="12" xfId="9" applyFont="1" applyBorder="1" applyAlignment="1" applyProtection="1">
      <alignment horizontal="center" vertical="center" wrapText="1"/>
      <protection locked="0"/>
    </xf>
    <xf numFmtId="0" fontId="15" fillId="2" borderId="1" xfId="11" applyFont="1" applyFill="1" applyBorder="1" applyAlignment="1" applyProtection="1">
      <alignment vertical="center" wrapText="1"/>
      <protection locked="0"/>
    </xf>
    <xf numFmtId="165" fontId="8" fillId="7" borderId="19" xfId="10" applyNumberFormat="1" applyFont="1" applyFill="1" applyBorder="1" applyAlignment="1" applyProtection="1">
      <alignment vertical="top" wrapText="1"/>
      <protection locked="0"/>
    </xf>
    <xf numFmtId="0" fontId="8" fillId="2" borderId="1" xfId="11" applyFont="1" applyFill="1" applyBorder="1" applyAlignment="1" applyProtection="1">
      <alignment horizontal="left" vertical="center" wrapText="1" indent="3"/>
      <protection locked="0"/>
    </xf>
    <xf numFmtId="0" fontId="15" fillId="7" borderId="1" xfId="11" applyFont="1" applyFill="1" applyBorder="1" applyAlignment="1" applyProtection="1">
      <alignment vertical="center" wrapText="1"/>
      <protection locked="0"/>
    </xf>
    <xf numFmtId="0" fontId="15" fillId="7" borderId="27" xfId="11" applyFont="1" applyFill="1" applyBorder="1" applyAlignment="1" applyProtection="1">
      <alignment vertical="center" wrapText="1"/>
      <protection locked="0"/>
    </xf>
    <xf numFmtId="165" fontId="8" fillId="7" borderId="28" xfId="10" applyNumberFormat="1" applyFont="1" applyFill="1" applyBorder="1" applyAlignment="1" applyProtection="1">
      <alignment vertical="top" wrapText="1"/>
    </xf>
    <xf numFmtId="0" fontId="21" fillId="0" borderId="0" xfId="0" applyFont="1" applyAlignment="1">
      <alignment horizontal="right"/>
    </xf>
    <xf numFmtId="165" fontId="21" fillId="0" borderId="0" xfId="0" applyNumberFormat="1" applyFont="1"/>
    <xf numFmtId="0" fontId="33" fillId="0" borderId="0" xfId="12" applyFont="1" applyAlignment="1" applyProtection="1">
      <alignment horizontal="left" vertical="center"/>
      <protection locked="0"/>
    </xf>
    <xf numFmtId="0" fontId="33" fillId="7" borderId="10"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12" xfId="0" applyFont="1" applyFill="1" applyBorder="1" applyAlignment="1">
      <alignment horizontal="left" vertical="center" wrapText="1"/>
    </xf>
    <xf numFmtId="0" fontId="33" fillId="7" borderId="1" xfId="0" applyFont="1" applyFill="1" applyBorder="1" applyAlignment="1">
      <alignment horizontal="left" vertical="center" wrapText="1"/>
    </xf>
    <xf numFmtId="0" fontId="33" fillId="7" borderId="19" xfId="0" applyFont="1" applyFill="1" applyBorder="1" applyAlignment="1">
      <alignment horizontal="left" vertical="center" wrapText="1"/>
    </xf>
    <xf numFmtId="0" fontId="4" fillId="0" borderId="0" xfId="0" applyFont="1" applyAlignment="1">
      <alignment horizontal="left" vertical="center"/>
    </xf>
    <xf numFmtId="0" fontId="4" fillId="0" borderId="12" xfId="0" applyFont="1" applyBorder="1" applyAlignment="1">
      <alignment horizontal="right" vertical="center" wrapText="1"/>
    </xf>
    <xf numFmtId="0" fontId="4" fillId="0" borderId="1" xfId="0" applyFont="1" applyBorder="1" applyAlignment="1">
      <alignment horizontal="left" vertical="center" wrapText="1"/>
    </xf>
    <xf numFmtId="10" fontId="8" fillId="0" borderId="1" xfId="2" applyNumberFormat="1" applyFont="1" applyFill="1" applyBorder="1" applyAlignment="1">
      <alignment horizontal="left" vertical="center" wrapText="1"/>
    </xf>
    <xf numFmtId="166" fontId="4" fillId="0" borderId="19" xfId="1" applyNumberFormat="1" applyFont="1" applyBorder="1" applyAlignment="1">
      <alignment horizontal="right" vertical="center" wrapText="1"/>
    </xf>
    <xf numFmtId="10" fontId="33" fillId="7" borderId="1" xfId="0" applyNumberFormat="1" applyFont="1" applyFill="1" applyBorder="1" applyAlignment="1">
      <alignment horizontal="left" vertical="center" wrapText="1"/>
    </xf>
    <xf numFmtId="166" fontId="33" fillId="7" borderId="19" xfId="1" applyNumberFormat="1" applyFont="1" applyFill="1" applyBorder="1" applyAlignment="1">
      <alignment horizontal="right" vertical="center" wrapText="1"/>
    </xf>
    <xf numFmtId="0" fontId="13" fillId="0" borderId="12" xfId="0" applyFont="1" applyBorder="1" applyAlignment="1">
      <alignment horizontal="right" vertical="center" wrapText="1"/>
    </xf>
    <xf numFmtId="0" fontId="13" fillId="0" borderId="1" xfId="0" applyFont="1" applyBorder="1" applyAlignment="1">
      <alignment horizontal="left" vertical="center" wrapText="1"/>
    </xf>
    <xf numFmtId="10" fontId="13" fillId="0" borderId="1" xfId="2" applyNumberFormat="1" applyFont="1" applyFill="1" applyBorder="1" applyAlignment="1">
      <alignment horizontal="left" vertical="center" wrapText="1"/>
    </xf>
    <xf numFmtId="166" fontId="13" fillId="0" borderId="19" xfId="1" applyNumberFormat="1" applyFont="1" applyBorder="1" applyAlignment="1">
      <alignment horizontal="right" vertical="center" wrapText="1"/>
    </xf>
    <xf numFmtId="0" fontId="13" fillId="0" borderId="0" xfId="0" applyFont="1" applyAlignment="1">
      <alignment horizontal="left" vertical="center"/>
    </xf>
    <xf numFmtId="10" fontId="33" fillId="7" borderId="1" xfId="2" applyNumberFormat="1" applyFont="1" applyFill="1" applyBorder="1" applyAlignment="1">
      <alignment horizontal="left" vertical="center" wrapText="1"/>
    </xf>
    <xf numFmtId="49" fontId="13" fillId="0" borderId="12" xfId="0" applyNumberFormat="1" applyFont="1" applyBorder="1" applyAlignment="1">
      <alignment horizontal="right" vertical="center" wrapText="1"/>
    </xf>
    <xf numFmtId="10" fontId="33" fillId="7" borderId="1" xfId="0" applyNumberFormat="1" applyFont="1" applyFill="1" applyBorder="1" applyAlignment="1">
      <alignment horizontal="center" vertical="center" wrapText="1"/>
    </xf>
    <xf numFmtId="1" fontId="33" fillId="7" borderId="19" xfId="0" applyNumberFormat="1" applyFont="1" applyFill="1" applyBorder="1" applyAlignment="1">
      <alignment horizontal="center" vertical="center" wrapText="1"/>
    </xf>
    <xf numFmtId="0" fontId="33" fillId="0" borderId="12" xfId="0" applyFont="1" applyBorder="1" applyAlignment="1">
      <alignment horizontal="left" vertical="center" wrapText="1"/>
    </xf>
    <xf numFmtId="49" fontId="42" fillId="0" borderId="26" xfId="13" applyNumberFormat="1" applyFont="1" applyBorder="1" applyAlignment="1" applyProtection="1">
      <alignment horizontal="left" vertical="center"/>
      <protection locked="0"/>
    </xf>
    <xf numFmtId="0" fontId="43" fillId="0" borderId="27" xfId="9" applyFont="1" applyBorder="1" applyAlignment="1" applyProtection="1">
      <alignment horizontal="left" vertical="center" wrapText="1"/>
      <protection locked="0"/>
    </xf>
    <xf numFmtId="10" fontId="43" fillId="0" borderId="27" xfId="2" applyNumberFormat="1" applyFont="1" applyFill="1" applyBorder="1" applyAlignment="1" applyProtection="1">
      <alignment horizontal="left" vertical="center"/>
    </xf>
    <xf numFmtId="166" fontId="8" fillId="0" borderId="28" xfId="1" applyNumberFormat="1" applyFont="1" applyFill="1" applyBorder="1" applyAlignment="1" applyProtection="1">
      <alignment horizontal="right" vertical="center"/>
    </xf>
    <xf numFmtId="0" fontId="7" fillId="0" borderId="0" xfId="0" applyFont="1"/>
    <xf numFmtId="0" fontId="14" fillId="0" borderId="0" xfId="5" applyFont="1"/>
    <xf numFmtId="0" fontId="14" fillId="0" borderId="0" xfId="5" applyFont="1" applyAlignment="1">
      <alignment horizontal="center"/>
    </xf>
    <xf numFmtId="0" fontId="34" fillId="0" borderId="0" xfId="0" applyFont="1" applyAlignment="1" applyProtection="1">
      <alignment horizontal="right"/>
      <protection locked="0"/>
    </xf>
    <xf numFmtId="0" fontId="4" fillId="0" borderId="49"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43" fontId="44" fillId="0" borderId="52" xfId="1" applyFont="1" applyBorder="1" applyAlignment="1">
      <alignment horizontal="center" vertical="center"/>
    </xf>
    <xf numFmtId="169" fontId="7" fillId="0" borderId="53" xfId="0" applyNumberFormat="1" applyFont="1" applyBorder="1" applyAlignment="1">
      <alignment horizontal="center"/>
    </xf>
    <xf numFmtId="169" fontId="0" fillId="0" borderId="0" xfId="0" applyNumberFormat="1" applyAlignment="1">
      <alignment horizontal="center"/>
    </xf>
    <xf numFmtId="43" fontId="7" fillId="0" borderId="54" xfId="1" applyFont="1" applyBorder="1" applyAlignment="1">
      <alignment horizontal="center" vertical="center"/>
    </xf>
    <xf numFmtId="169" fontId="7" fillId="0" borderId="55" xfId="0" applyNumberFormat="1" applyFont="1" applyBorder="1" applyAlignment="1">
      <alignment horizontal="center"/>
    </xf>
    <xf numFmtId="169" fontId="45" fillId="0" borderId="55" xfId="0" applyNumberFormat="1" applyFont="1" applyBorder="1" applyAlignment="1">
      <alignment horizontal="center"/>
    </xf>
    <xf numFmtId="169" fontId="46" fillId="0" borderId="0" xfId="0" applyNumberFormat="1" applyFont="1" applyAlignment="1">
      <alignment horizontal="center"/>
    </xf>
    <xf numFmtId="43" fontId="12" fillId="0" borderId="54" xfId="1" applyFont="1" applyBorder="1" applyAlignment="1">
      <alignment horizontal="center" vertical="center"/>
    </xf>
    <xf numFmtId="43" fontId="44" fillId="0" borderId="54" xfId="1" applyFont="1" applyBorder="1" applyAlignment="1">
      <alignment horizontal="center" vertical="center"/>
    </xf>
    <xf numFmtId="43" fontId="45" fillId="0" borderId="54" xfId="1" applyFont="1" applyBorder="1" applyAlignment="1">
      <alignment horizontal="center" vertical="center"/>
    </xf>
    <xf numFmtId="0" fontId="25" fillId="2" borderId="32" xfId="0" applyFont="1" applyFill="1" applyBorder="1" applyAlignment="1">
      <alignment vertical="top" wrapText="1"/>
    </xf>
    <xf numFmtId="169" fontId="34" fillId="0" borderId="55" xfId="0" applyNumberFormat="1" applyFont="1" applyBorder="1" applyAlignment="1">
      <alignment horizontal="center"/>
    </xf>
    <xf numFmtId="43" fontId="7" fillId="0" borderId="56" xfId="1" applyFont="1" applyBorder="1" applyAlignment="1">
      <alignment horizontal="center" vertical="center"/>
    </xf>
    <xf numFmtId="169" fontId="7" fillId="0" borderId="57" xfId="0" applyNumberFormat="1" applyFont="1" applyBorder="1" applyAlignment="1">
      <alignment horizontal="center"/>
    </xf>
    <xf numFmtId="169" fontId="44" fillId="0" borderId="58" xfId="0" applyNumberFormat="1" applyFont="1" applyBorder="1" applyAlignment="1">
      <alignment horizontal="center"/>
    </xf>
    <xf numFmtId="169" fontId="3" fillId="0" borderId="0" xfId="0" applyNumberFormat="1" applyFont="1" applyAlignment="1">
      <alignment horizontal="center"/>
    </xf>
    <xf numFmtId="43" fontId="44" fillId="0" borderId="59" xfId="1" applyFont="1" applyBorder="1" applyAlignment="1">
      <alignment horizontal="center" vertical="center"/>
    </xf>
    <xf numFmtId="169" fontId="45" fillId="3" borderId="60" xfId="0" applyNumberFormat="1" applyFont="1" applyFill="1" applyBorder="1" applyAlignment="1">
      <alignment horizontal="center"/>
    </xf>
    <xf numFmtId="43" fontId="44" fillId="0" borderId="56" xfId="1" applyFont="1" applyBorder="1" applyAlignment="1">
      <alignment horizontal="center" vertical="center"/>
    </xf>
    <xf numFmtId="43" fontId="45" fillId="0" borderId="56" xfId="1" applyFont="1" applyBorder="1" applyAlignment="1">
      <alignment vertical="center"/>
    </xf>
    <xf numFmtId="169" fontId="7" fillId="0" borderId="61" xfId="0" applyNumberFormat="1" applyFont="1" applyBorder="1" applyAlignment="1">
      <alignment horizontal="center"/>
    </xf>
    <xf numFmtId="43" fontId="44" fillId="0" borderId="62" xfId="1" applyFont="1" applyBorder="1" applyAlignment="1">
      <alignment horizontal="center" vertical="center"/>
    </xf>
    <xf numFmtId="0" fontId="0" fillId="0" borderId="2" xfId="0" applyBorder="1" applyAlignment="1">
      <alignment horizontal="center"/>
    </xf>
    <xf numFmtId="0" fontId="24" fillId="0" borderId="2" xfId="7" applyFont="1" applyBorder="1" applyAlignment="1">
      <alignment horizontal="left" vertical="center" wrapText="1" indent="1"/>
    </xf>
    <xf numFmtId="0" fontId="24" fillId="2" borderId="1" xfId="0" applyFont="1" applyFill="1" applyBorder="1" applyAlignment="1">
      <alignment horizontal="left" vertical="center" wrapText="1" indent="1"/>
    </xf>
    <xf numFmtId="169" fontId="7" fillId="0" borderId="1" xfId="0" applyNumberFormat="1" applyFont="1" applyBorder="1" applyAlignment="1">
      <alignment horizontal="center"/>
    </xf>
    <xf numFmtId="43" fontId="44" fillId="0" borderId="1" xfId="1" applyFont="1" applyBorder="1" applyAlignment="1">
      <alignment horizontal="center"/>
    </xf>
    <xf numFmtId="0" fontId="24" fillId="0" borderId="1" xfId="0" applyFont="1" applyBorder="1" applyAlignment="1">
      <alignment horizontal="left" vertical="center" wrapText="1" indent="1"/>
    </xf>
    <xf numFmtId="43" fontId="7" fillId="0" borderId="1" xfId="1" applyFont="1" applyBorder="1" applyAlignment="1">
      <alignment horizontal="center"/>
    </xf>
    <xf numFmtId="43" fontId="7" fillId="0" borderId="1" xfId="1" applyFont="1" applyFill="1" applyBorder="1" applyAlignment="1">
      <alignment horizontal="center"/>
    </xf>
    <xf numFmtId="43" fontId="44" fillId="0" borderId="1" xfId="1" applyFont="1" applyBorder="1" applyAlignment="1">
      <alignment horizontal="center" vertical="center"/>
    </xf>
    <xf numFmtId="43" fontId="7" fillId="0" borderId="1" xfId="1" applyFont="1" applyBorder="1" applyAlignment="1">
      <alignment horizontal="center" vertical="center"/>
    </xf>
    <xf numFmtId="0" fontId="26" fillId="2" borderId="1" xfId="0" applyFont="1" applyFill="1" applyBorder="1" applyAlignment="1">
      <alignment horizontal="left" vertical="center" wrapText="1" indent="1"/>
    </xf>
    <xf numFmtId="0" fontId="26" fillId="0" borderId="1" xfId="0" applyFont="1" applyBorder="1" applyAlignment="1">
      <alignment horizontal="left" vertical="center" wrapText="1" indent="1"/>
    </xf>
    <xf numFmtId="166" fontId="7" fillId="0" borderId="0" xfId="1" applyNumberFormat="1" applyFont="1"/>
    <xf numFmtId="0" fontId="33" fillId="0" borderId="0" xfId="0" applyFont="1" applyAlignment="1">
      <alignment horizontal="center" wrapText="1"/>
    </xf>
    <xf numFmtId="0" fontId="4" fillId="0" borderId="63" xfId="0" applyFont="1" applyBorder="1"/>
    <xf numFmtId="0" fontId="4" fillId="0" borderId="64" xfId="0" applyFont="1" applyBorder="1"/>
    <xf numFmtId="0" fontId="4" fillId="0" borderId="10" xfId="0" applyFont="1" applyBorder="1" applyAlignment="1">
      <alignment horizontal="center" vertical="center"/>
    </xf>
    <xf numFmtId="0" fontId="4" fillId="0" borderId="41" xfId="0" applyFont="1" applyBorder="1" applyAlignment="1">
      <alignment horizontal="center" vertical="center"/>
    </xf>
    <xf numFmtId="0" fontId="4" fillId="0" borderId="11" xfId="0" applyFont="1" applyBorder="1" applyAlignment="1">
      <alignment horizontal="center" vertical="center"/>
    </xf>
    <xf numFmtId="0" fontId="4" fillId="0" borderId="65" xfId="0" applyFont="1" applyBorder="1"/>
    <xf numFmtId="9" fontId="48" fillId="0" borderId="1" xfId="0" applyNumberFormat="1" applyFont="1" applyBorder="1" applyAlignment="1">
      <alignment horizontal="center" vertical="center"/>
    </xf>
    <xf numFmtId="0" fontId="4" fillId="0" borderId="12" xfId="0" applyFont="1" applyBorder="1" applyAlignment="1">
      <alignment vertical="center"/>
    </xf>
    <xf numFmtId="0" fontId="8" fillId="2" borderId="1" xfId="11" applyFont="1" applyFill="1" applyBorder="1" applyAlignment="1" applyProtection="1">
      <alignment horizontal="left" vertical="center"/>
      <protection locked="0"/>
    </xf>
    <xf numFmtId="165" fontId="4" fillId="0" borderId="1" xfId="0" applyNumberFormat="1" applyFont="1" applyBorder="1"/>
    <xf numFmtId="165" fontId="4" fillId="0" borderId="20" xfId="0" applyNumberFormat="1" applyFont="1" applyBorder="1"/>
    <xf numFmtId="169" fontId="4" fillId="0" borderId="19" xfId="0" applyNumberFormat="1" applyFont="1" applyBorder="1"/>
    <xf numFmtId="0" fontId="8" fillId="0" borderId="1" xfId="11" applyFont="1" applyBorder="1" applyAlignment="1" applyProtection="1">
      <alignment horizontal="left" vertical="center"/>
      <protection locked="0"/>
    </xf>
    <xf numFmtId="0" fontId="8" fillId="2" borderId="26" xfId="9" applyFont="1" applyFill="1" applyBorder="1" applyAlignment="1" applyProtection="1">
      <alignment horizontal="left" vertical="center"/>
      <protection locked="0"/>
    </xf>
    <xf numFmtId="0" fontId="15" fillId="2" borderId="27" xfId="14" applyFont="1" applyFill="1" applyBorder="1" applyAlignment="1" applyProtection="1">
      <alignment vertical="top" wrapText="1"/>
      <protection locked="0"/>
    </xf>
    <xf numFmtId="165" fontId="4" fillId="7" borderId="27" xfId="0" applyNumberFormat="1" applyFont="1" applyFill="1" applyBorder="1"/>
    <xf numFmtId="166" fontId="4" fillId="7" borderId="28" xfId="1" applyNumberFormat="1" applyFont="1" applyFill="1" applyBorder="1"/>
    <xf numFmtId="0" fontId="4" fillId="0" borderId="9" xfId="0" applyFont="1" applyBorder="1"/>
    <xf numFmtId="0" fontId="4" fillId="0" borderId="11" xfId="0" applyFont="1" applyBorder="1"/>
    <xf numFmtId="0" fontId="4" fillId="0" borderId="19" xfId="0" applyFont="1" applyBorder="1" applyAlignment="1">
      <alignment horizontal="center" vertical="center"/>
    </xf>
    <xf numFmtId="166" fontId="8" fillId="2" borderId="12" xfId="15" applyNumberFormat="1" applyFont="1" applyFill="1" applyBorder="1" applyAlignment="1" applyProtection="1">
      <alignment horizontal="center" vertical="center" wrapText="1"/>
      <protection locked="0"/>
    </xf>
    <xf numFmtId="166" fontId="8" fillId="2" borderId="1" xfId="15" applyNumberFormat="1" applyFont="1" applyFill="1" applyBorder="1" applyAlignment="1" applyProtection="1">
      <alignment horizontal="center" vertical="center" wrapText="1"/>
      <protection locked="0"/>
    </xf>
    <xf numFmtId="0" fontId="8" fillId="0" borderId="1" xfId="11" applyFont="1" applyBorder="1" applyAlignment="1" applyProtection="1">
      <alignment horizontal="center" vertical="center" wrapText="1"/>
      <protection locked="0"/>
    </xf>
    <xf numFmtId="166" fontId="8" fillId="2" borderId="19" xfId="15" applyNumberFormat="1" applyFont="1" applyFill="1" applyBorder="1" applyAlignment="1" applyProtection="1">
      <alignment horizontal="center" vertical="center" wrapText="1"/>
      <protection locked="0"/>
    </xf>
    <xf numFmtId="0" fontId="8" fillId="2" borderId="12" xfId="13" applyFont="1" applyFill="1" applyBorder="1" applyAlignment="1" applyProtection="1">
      <alignment horizontal="right" vertical="center"/>
      <protection locked="0"/>
    </xf>
    <xf numFmtId="0" fontId="8" fillId="2" borderId="19" xfId="11" applyFont="1" applyFill="1" applyBorder="1" applyAlignment="1" applyProtection="1">
      <alignment horizontal="left" vertical="center"/>
      <protection locked="0"/>
    </xf>
    <xf numFmtId="165" fontId="4" fillId="0" borderId="12" xfId="0" applyNumberFormat="1" applyFont="1" applyBorder="1"/>
    <xf numFmtId="165" fontId="4" fillId="0" borderId="19" xfId="0" applyNumberFormat="1" applyFont="1" applyBorder="1"/>
    <xf numFmtId="165" fontId="4" fillId="0" borderId="22" xfId="0" applyNumberFormat="1" applyFont="1" applyBorder="1" applyAlignment="1">
      <alignment wrapText="1"/>
    </xf>
    <xf numFmtId="165" fontId="4" fillId="0" borderId="22" xfId="0" applyNumberFormat="1" applyFont="1" applyBorder="1"/>
    <xf numFmtId="165" fontId="4" fillId="7" borderId="69" xfId="0" applyNumberFormat="1" applyFont="1" applyFill="1" applyBorder="1"/>
    <xf numFmtId="0" fontId="15" fillId="2" borderId="28" xfId="14" applyFont="1" applyFill="1" applyBorder="1" applyProtection="1">
      <protection locked="0"/>
    </xf>
    <xf numFmtId="165" fontId="4" fillId="7" borderId="26" xfId="0" applyNumberFormat="1" applyFont="1" applyFill="1" applyBorder="1"/>
    <xf numFmtId="165" fontId="4" fillId="7" borderId="28" xfId="0" applyNumberFormat="1" applyFont="1" applyFill="1" applyBorder="1"/>
    <xf numFmtId="165" fontId="4" fillId="7" borderId="70" xfId="0" applyNumberFormat="1" applyFont="1" applyFill="1" applyBorder="1"/>
    <xf numFmtId="0" fontId="4" fillId="0" borderId="0" xfId="0" applyFont="1" applyAlignment="1">
      <alignment horizontal="center" vertical="center" wrapText="1"/>
    </xf>
    <xf numFmtId="0" fontId="4" fillId="0" borderId="0" xfId="0" applyFont="1" applyAlignment="1">
      <alignment vertical="center" wrapText="1"/>
    </xf>
    <xf numFmtId="0" fontId="4" fillId="0" borderId="10" xfId="0" applyFont="1" applyBorder="1"/>
    <xf numFmtId="0" fontId="4" fillId="0" borderId="10" xfId="0" applyFont="1" applyBorder="1" applyAlignment="1">
      <alignment wrapText="1"/>
    </xf>
    <xf numFmtId="0" fontId="4" fillId="0" borderId="41" xfId="0" applyFont="1" applyBorder="1" applyAlignment="1">
      <alignment wrapText="1"/>
    </xf>
    <xf numFmtId="0" fontId="4" fillId="0" borderId="11" xfId="0" applyFont="1" applyBorder="1" applyAlignment="1">
      <alignment wrapText="1"/>
    </xf>
    <xf numFmtId="0" fontId="32" fillId="0" borderId="0" xfId="0" applyFont="1" applyAlignment="1">
      <alignment wrapText="1"/>
    </xf>
    <xf numFmtId="0" fontId="4" fillId="0" borderId="29" xfId="0" applyFont="1" applyBorder="1"/>
    <xf numFmtId="0" fontId="4" fillId="0" borderId="12" xfId="0" applyFont="1" applyBorder="1"/>
    <xf numFmtId="9" fontId="4" fillId="0" borderId="19" xfId="2" applyFont="1" applyBorder="1"/>
    <xf numFmtId="0" fontId="4" fillId="0" borderId="26" xfId="0" applyFont="1" applyBorder="1"/>
    <xf numFmtId="0" fontId="33" fillId="0" borderId="27" xfId="0" applyFont="1" applyBorder="1" applyAlignment="1">
      <alignment vertical="top" wrapText="1"/>
    </xf>
    <xf numFmtId="9" fontId="4" fillId="7" borderId="28" xfId="2" applyFont="1" applyFill="1" applyBorder="1"/>
    <xf numFmtId="0" fontId="4" fillId="0" borderId="0" xfId="0" applyFont="1" applyAlignment="1">
      <alignment horizontal="left"/>
    </xf>
    <xf numFmtId="0" fontId="49" fillId="2" borderId="14" xfId="0" applyFont="1" applyFill="1" applyBorder="1" applyAlignment="1">
      <alignment horizontal="left"/>
    </xf>
    <xf numFmtId="0" fontId="49" fillId="2" borderId="4" xfId="0" applyFont="1" applyFill="1" applyBorder="1" applyAlignment="1">
      <alignment horizontal="left"/>
    </xf>
    <xf numFmtId="0" fontId="4" fillId="0" borderId="19" xfId="0" applyFont="1" applyBorder="1" applyAlignment="1">
      <alignment horizontal="center" vertical="center" wrapText="1"/>
    </xf>
    <xf numFmtId="0" fontId="33" fillId="2" borderId="23"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0" borderId="38" xfId="0" applyFont="1" applyBorder="1" applyAlignment="1">
      <alignment horizontal="center" vertical="center"/>
    </xf>
    <xf numFmtId="0" fontId="4" fillId="0" borderId="29" xfId="0" applyFont="1" applyBorder="1" applyAlignment="1">
      <alignment vertical="center"/>
    </xf>
    <xf numFmtId="164" fontId="18" fillId="4" borderId="0" xfId="6"/>
    <xf numFmtId="166" fontId="4" fillId="0" borderId="15" xfId="1" applyNumberFormat="1" applyFont="1" applyBorder="1" applyAlignment="1">
      <alignment vertical="center"/>
    </xf>
    <xf numFmtId="166" fontId="4" fillId="0" borderId="42" xfId="1" applyNumberFormat="1" applyFont="1" applyBorder="1" applyAlignment="1">
      <alignment vertical="center"/>
    </xf>
    <xf numFmtId="166" fontId="4" fillId="2" borderId="21" xfId="1" applyNumberFormat="1" applyFont="1" applyFill="1" applyBorder="1" applyAlignment="1">
      <alignment vertical="center"/>
    </xf>
    <xf numFmtId="166" fontId="4" fillId="2" borderId="22" xfId="1" applyNumberFormat="1" applyFont="1" applyFill="1" applyBorder="1" applyAlignment="1">
      <alignment vertical="center"/>
    </xf>
    <xf numFmtId="0" fontId="4" fillId="0" borderId="1" xfId="0" applyFont="1" applyBorder="1" applyAlignment="1">
      <alignment vertical="center"/>
    </xf>
    <xf numFmtId="166" fontId="4" fillId="0" borderId="20" xfId="1" applyNumberFormat="1" applyFont="1" applyBorder="1" applyAlignment="1">
      <alignment vertical="center"/>
    </xf>
    <xf numFmtId="166" fontId="4" fillId="0" borderId="19" xfId="1" applyNumberFormat="1" applyFont="1" applyBorder="1" applyAlignment="1">
      <alignment vertical="center"/>
    </xf>
    <xf numFmtId="0" fontId="33" fillId="0" borderId="1" xfId="0" applyFont="1" applyBorder="1" applyAlignment="1">
      <alignment vertical="center"/>
    </xf>
    <xf numFmtId="166" fontId="4" fillId="2" borderId="21" xfId="0" applyNumberFormat="1" applyFont="1" applyFill="1" applyBorder="1" applyAlignment="1">
      <alignment vertical="center"/>
    </xf>
    <xf numFmtId="166" fontId="4" fillId="0" borderId="1" xfId="0" applyNumberFormat="1" applyFont="1" applyBorder="1" applyAlignment="1">
      <alignment vertical="center"/>
    </xf>
    <xf numFmtId="166" fontId="4" fillId="0" borderId="20" xfId="0" applyNumberFormat="1" applyFont="1" applyBorder="1" applyAlignment="1">
      <alignment vertical="center"/>
    </xf>
    <xf numFmtId="0" fontId="4" fillId="0" borderId="26" xfId="0" applyFont="1" applyBorder="1" applyAlignment="1">
      <alignment horizontal="center" vertical="center"/>
    </xf>
    <xf numFmtId="0" fontId="33" fillId="0" borderId="27" xfId="0" applyFont="1" applyBorder="1" applyAlignment="1">
      <alignment vertical="center"/>
    </xf>
    <xf numFmtId="166" fontId="4" fillId="0" borderId="27" xfId="1" applyNumberFormat="1" applyFont="1" applyBorder="1" applyAlignment="1">
      <alignment vertical="center"/>
    </xf>
    <xf numFmtId="166" fontId="4" fillId="0" borderId="39" xfId="1" applyNumberFormat="1" applyFont="1" applyBorder="1" applyAlignment="1">
      <alignment vertical="center"/>
    </xf>
    <xf numFmtId="166" fontId="4" fillId="0" borderId="28" xfId="1" applyNumberFormat="1" applyFont="1" applyBorder="1" applyAlignment="1">
      <alignment vertical="center"/>
    </xf>
    <xf numFmtId="0" fontId="4" fillId="2" borderId="65" xfId="0" applyFont="1" applyFill="1" applyBorder="1" applyAlignment="1">
      <alignment horizontal="center" vertical="center"/>
    </xf>
    <xf numFmtId="0" fontId="4" fillId="2" borderId="0" xfId="0" applyFont="1" applyFill="1" applyAlignment="1">
      <alignment vertical="top" wrapText="1"/>
    </xf>
    <xf numFmtId="0" fontId="4" fillId="2" borderId="0" xfId="0" applyFont="1" applyFill="1" applyAlignment="1">
      <alignment vertical="center"/>
    </xf>
    <xf numFmtId="0" fontId="4" fillId="0" borderId="9" xfId="0" applyFont="1" applyBorder="1" applyAlignment="1">
      <alignment horizontal="center" vertical="center"/>
    </xf>
    <xf numFmtId="0" fontId="4" fillId="0" borderId="41" xfId="0" applyFont="1" applyBorder="1" applyAlignment="1">
      <alignment vertical="center"/>
    </xf>
    <xf numFmtId="164" fontId="18" fillId="4" borderId="63" xfId="6" applyBorder="1"/>
    <xf numFmtId="164" fontId="18" fillId="4" borderId="64" xfId="6" applyBorder="1"/>
    <xf numFmtId="166" fontId="4" fillId="0" borderId="41" xfId="1" applyNumberFormat="1" applyFont="1" applyBorder="1" applyAlignment="1">
      <alignment vertical="center"/>
    </xf>
    <xf numFmtId="43" fontId="4" fillId="0" borderId="41" xfId="1" applyFont="1" applyBorder="1" applyAlignment="1">
      <alignment vertical="center"/>
    </xf>
    <xf numFmtId="43" fontId="4" fillId="0" borderId="11" xfId="1" applyFont="1" applyBorder="1" applyAlignment="1">
      <alignment vertical="center"/>
    </xf>
    <xf numFmtId="0" fontId="4" fillId="0" borderId="24" xfId="0" applyFont="1" applyBorder="1" applyAlignment="1">
      <alignment horizontal="center" vertical="center"/>
    </xf>
    <xf numFmtId="0" fontId="4" fillId="0" borderId="3" xfId="0" applyFont="1" applyBorder="1" applyAlignment="1">
      <alignment vertical="center"/>
    </xf>
    <xf numFmtId="164" fontId="18" fillId="4" borderId="72" xfId="6" applyBorder="1"/>
    <xf numFmtId="164" fontId="18" fillId="4" borderId="45" xfId="6" applyBorder="1"/>
    <xf numFmtId="164" fontId="18" fillId="4" borderId="43" xfId="6" applyBorder="1"/>
    <xf numFmtId="166" fontId="4" fillId="0" borderId="3" xfId="1" applyNumberFormat="1" applyFont="1" applyBorder="1" applyAlignment="1">
      <alignment vertical="center"/>
    </xf>
    <xf numFmtId="43" fontId="4" fillId="0" borderId="3" xfId="1" applyFont="1" applyBorder="1" applyAlignment="1">
      <alignment vertical="center"/>
    </xf>
    <xf numFmtId="43" fontId="4" fillId="0" borderId="25" xfId="1" applyFont="1" applyBorder="1" applyAlignment="1">
      <alignment vertical="center"/>
    </xf>
    <xf numFmtId="0" fontId="4" fillId="0" borderId="73" xfId="0" applyFont="1" applyBorder="1" applyAlignment="1">
      <alignment horizontal="center" vertical="center"/>
    </xf>
    <xf numFmtId="0" fontId="4" fillId="0" borderId="74" xfId="0" applyFont="1" applyBorder="1" applyAlignment="1">
      <alignment vertical="center"/>
    </xf>
    <xf numFmtId="164" fontId="18" fillId="4" borderId="6" xfId="6" applyBorder="1"/>
    <xf numFmtId="164" fontId="18" fillId="4" borderId="7" xfId="6" applyBorder="1"/>
    <xf numFmtId="9" fontId="4" fillId="0" borderId="74" xfId="2" applyFont="1" applyBorder="1" applyAlignment="1">
      <alignment vertical="center"/>
    </xf>
    <xf numFmtId="9" fontId="4" fillId="0" borderId="75" xfId="2" applyFont="1" applyBorder="1" applyAlignment="1">
      <alignment vertical="center"/>
    </xf>
    <xf numFmtId="43" fontId="4" fillId="0" borderId="0" xfId="0" applyNumberFormat="1" applyFont="1"/>
    <xf numFmtId="0" fontId="44" fillId="0" borderId="0" xfId="0" applyFont="1"/>
    <xf numFmtId="0" fontId="4" fillId="0" borderId="63" xfId="0" applyFont="1" applyBorder="1" applyAlignment="1">
      <alignment horizontal="center"/>
    </xf>
    <xf numFmtId="0" fontId="4" fillId="0" borderId="64"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2" fillId="0" borderId="0" xfId="0" applyFont="1" applyAlignment="1">
      <alignment horizontal="center"/>
    </xf>
    <xf numFmtId="0" fontId="9" fillId="2" borderId="12" xfId="13" applyFont="1" applyFill="1" applyBorder="1" applyAlignment="1" applyProtection="1">
      <alignment horizontal="left" vertical="center"/>
      <protection locked="0"/>
    </xf>
    <xf numFmtId="0" fontId="9" fillId="2" borderId="1" xfId="13" applyFont="1" applyFill="1" applyBorder="1" applyProtection="1">
      <protection locked="0"/>
    </xf>
    <xf numFmtId="0" fontId="9" fillId="0" borderId="1" xfId="11" applyFont="1" applyBorder="1" applyAlignment="1" applyProtection="1">
      <alignment horizontal="center" vertical="center" wrapText="1"/>
      <protection locked="0"/>
    </xf>
    <xf numFmtId="0" fontId="9" fillId="2" borderId="1" xfId="11" applyFont="1" applyFill="1" applyBorder="1" applyAlignment="1" applyProtection="1">
      <alignment horizontal="center" vertical="center" wrapText="1"/>
      <protection locked="0"/>
    </xf>
    <xf numFmtId="3" fontId="9" fillId="2" borderId="1" xfId="15" applyNumberFormat="1" applyFont="1" applyFill="1" applyBorder="1" applyAlignment="1" applyProtection="1">
      <alignment horizontal="center" vertical="center" wrapText="1"/>
      <protection locked="0"/>
    </xf>
    <xf numFmtId="9" fontId="9" fillId="2" borderId="1" xfId="16" applyNumberFormat="1" applyFont="1" applyFill="1" applyBorder="1" applyAlignment="1" applyProtection="1">
      <alignment horizontal="center" vertical="center"/>
      <protection locked="0"/>
    </xf>
    <xf numFmtId="0" fontId="9" fillId="2" borderId="19" xfId="11" applyFont="1" applyFill="1" applyBorder="1" applyAlignment="1" applyProtection="1">
      <alignment horizontal="center" vertical="center" wrapText="1"/>
      <protection locked="0"/>
    </xf>
    <xf numFmtId="0" fontId="9" fillId="2" borderId="12" xfId="13" applyFont="1" applyFill="1" applyBorder="1" applyAlignment="1" applyProtection="1">
      <alignment horizontal="right" vertical="center"/>
      <protection locked="0"/>
    </xf>
    <xf numFmtId="0" fontId="14" fillId="2" borderId="1" xfId="11" applyFont="1" applyFill="1" applyBorder="1" applyAlignment="1" applyProtection="1">
      <alignment wrapText="1"/>
      <protection locked="0"/>
    </xf>
    <xf numFmtId="165" fontId="9" fillId="7" borderId="1" xfId="13" applyNumberFormat="1" applyFont="1" applyFill="1" applyBorder="1" applyProtection="1">
      <protection locked="0"/>
    </xf>
    <xf numFmtId="165" fontId="9" fillId="7" borderId="1" xfId="15" applyNumberFormat="1" applyFont="1" applyFill="1" applyBorder="1" applyProtection="1">
      <protection locked="0"/>
    </xf>
    <xf numFmtId="3" fontId="9" fillId="7" borderId="19" xfId="13" applyNumberFormat="1" applyFont="1" applyFill="1" applyBorder="1" applyProtection="1">
      <protection locked="0"/>
    </xf>
    <xf numFmtId="0" fontId="9" fillId="2" borderId="1" xfId="11" applyFont="1" applyFill="1" applyBorder="1" applyAlignment="1" applyProtection="1">
      <alignment horizontal="left" vertical="center" wrapText="1"/>
      <protection locked="0"/>
    </xf>
    <xf numFmtId="165" fontId="9" fillId="2" borderId="1" xfId="13" applyNumberFormat="1" applyFont="1" applyFill="1" applyBorder="1" applyProtection="1">
      <protection locked="0"/>
    </xf>
    <xf numFmtId="167" fontId="9" fillId="2" borderId="1" xfId="8" applyNumberFormat="1" applyFont="1" applyFill="1" applyBorder="1" applyAlignment="1" applyProtection="1">
      <alignment horizontal="right" wrapText="1"/>
      <protection locked="0"/>
    </xf>
    <xf numFmtId="0" fontId="9" fillId="0" borderId="1" xfId="11" applyFont="1" applyBorder="1" applyAlignment="1" applyProtection="1">
      <alignment horizontal="left" vertical="center" wrapText="1"/>
      <protection locked="0"/>
    </xf>
    <xf numFmtId="167" fontId="9" fillId="10" borderId="1" xfId="8" applyNumberFormat="1" applyFont="1" applyFill="1" applyBorder="1" applyAlignment="1" applyProtection="1">
      <alignment horizontal="right" wrapText="1"/>
      <protection locked="0"/>
    </xf>
    <xf numFmtId="0" fontId="14" fillId="0" borderId="1" xfId="11" applyFont="1" applyBorder="1" applyAlignment="1" applyProtection="1">
      <alignment wrapText="1"/>
      <protection locked="0"/>
    </xf>
    <xf numFmtId="165" fontId="9" fillId="0" borderId="1" xfId="15" applyNumberFormat="1" applyFont="1" applyFill="1" applyBorder="1" applyProtection="1">
      <protection locked="0"/>
    </xf>
    <xf numFmtId="0" fontId="9" fillId="2" borderId="26" xfId="9" applyFont="1" applyFill="1" applyBorder="1" applyAlignment="1" applyProtection="1">
      <alignment horizontal="right" vertical="center"/>
      <protection locked="0"/>
    </xf>
    <xf numFmtId="0" fontId="14" fillId="2" borderId="27" xfId="14" applyFont="1" applyFill="1" applyBorder="1" applyProtection="1">
      <protection locked="0"/>
    </xf>
    <xf numFmtId="165" fontId="14" fillId="7" borderId="27" xfId="14" applyNumberFormat="1" applyFont="1" applyFill="1" applyBorder="1" applyProtection="1">
      <protection locked="0"/>
    </xf>
    <xf numFmtId="3" fontId="14" fillId="7" borderId="27" xfId="14" applyNumberFormat="1" applyFont="1" applyFill="1" applyBorder="1" applyProtection="1">
      <protection locked="0"/>
    </xf>
    <xf numFmtId="165" fontId="14" fillId="7" borderId="27" xfId="15" applyNumberFormat="1" applyFont="1" applyFill="1" applyBorder="1" applyAlignment="1" applyProtection="1">
      <protection locked="0"/>
    </xf>
    <xf numFmtId="165" fontId="9" fillId="2" borderId="27" xfId="13" applyNumberFormat="1" applyFont="1" applyFill="1" applyBorder="1" applyProtection="1">
      <protection locked="0"/>
    </xf>
    <xf numFmtId="166" fontId="14" fillId="7" borderId="28" xfId="15" applyNumberFormat="1" applyFont="1" applyFill="1" applyBorder="1" applyAlignment="1" applyProtection="1">
      <protection locked="0"/>
    </xf>
    <xf numFmtId="0" fontId="7" fillId="0" borderId="0" xfId="0" applyFont="1" applyAlignment="1">
      <alignment vertical="top" wrapText="1"/>
    </xf>
    <xf numFmtId="165" fontId="7" fillId="0" borderId="0" xfId="0" applyNumberFormat="1" applyFont="1"/>
    <xf numFmtId="166" fontId="40" fillId="8" borderId="0" xfId="1" applyNumberFormat="1" applyFont="1" applyFill="1"/>
    <xf numFmtId="0" fontId="50" fillId="11" borderId="20" xfId="17" applyFont="1" applyFill="1" applyBorder="1" applyAlignment="1" applyProtection="1">
      <alignment vertical="center" wrapText="1"/>
      <protection locked="0"/>
    </xf>
    <xf numFmtId="0" fontId="51" fillId="11" borderId="30" xfId="17" applyFont="1" applyFill="1" applyBorder="1" applyProtection="1">
      <alignment vertical="center"/>
      <protection locked="0"/>
    </xf>
    <xf numFmtId="0" fontId="52" fillId="12" borderId="2" xfId="17" applyFont="1" applyFill="1" applyBorder="1" applyAlignment="1" applyProtection="1">
      <alignment horizontal="center" vertical="center"/>
      <protection locked="0"/>
    </xf>
    <xf numFmtId="0" fontId="52" fillId="0" borderId="30" xfId="17" applyFont="1" applyBorder="1" applyAlignment="1" applyProtection="1">
      <alignment horizontal="left" vertical="center" wrapText="1"/>
      <protection locked="0"/>
    </xf>
    <xf numFmtId="0" fontId="50" fillId="9" borderId="1" xfId="17" applyFont="1" applyFill="1" applyBorder="1" applyAlignment="1" applyProtection="1">
      <alignment horizontal="center" vertical="center"/>
      <protection locked="0"/>
    </xf>
    <xf numFmtId="0" fontId="50" fillId="9" borderId="30" xfId="17" applyFont="1" applyFill="1" applyBorder="1" applyAlignment="1" applyProtection="1">
      <alignment vertical="top" wrapText="1"/>
      <protection locked="0"/>
    </xf>
    <xf numFmtId="166" fontId="52" fillId="9" borderId="1" xfId="18" applyNumberFormat="1" applyFont="1" applyFill="1" applyBorder="1" applyAlignment="1" applyProtection="1">
      <alignment horizontal="right" vertical="center"/>
    </xf>
    <xf numFmtId="0" fontId="50" fillId="11" borderId="20" xfId="17" applyFont="1" applyFill="1" applyBorder="1" applyProtection="1">
      <alignment vertical="center"/>
      <protection locked="0"/>
    </xf>
    <xf numFmtId="166" fontId="51" fillId="11" borderId="30" xfId="18" applyNumberFormat="1" applyFont="1" applyFill="1" applyBorder="1" applyAlignment="1" applyProtection="1">
      <alignment horizontal="right" vertical="center"/>
      <protection locked="0"/>
    </xf>
    <xf numFmtId="0" fontId="53" fillId="12" borderId="2" xfId="17" applyFont="1" applyFill="1" applyBorder="1" applyAlignment="1" applyProtection="1">
      <alignment horizontal="center" vertical="center"/>
      <protection locked="0"/>
    </xf>
    <xf numFmtId="0" fontId="52" fillId="12" borderId="30" xfId="17" applyFont="1" applyFill="1" applyBorder="1" applyAlignment="1" applyProtection="1">
      <alignment vertical="center" wrapText="1"/>
      <protection locked="0"/>
    </xf>
    <xf numFmtId="166" fontId="52" fillId="0" borderId="1" xfId="18" applyNumberFormat="1" applyFont="1" applyFill="1" applyBorder="1" applyAlignment="1" applyProtection="1">
      <alignment horizontal="right" vertical="center"/>
      <protection locked="0"/>
    </xf>
    <xf numFmtId="0" fontId="52" fillId="12" borderId="30" xfId="17" applyFont="1" applyFill="1" applyBorder="1" applyAlignment="1" applyProtection="1">
      <alignment horizontal="left" vertical="center" wrapText="1"/>
      <protection locked="0"/>
    </xf>
    <xf numFmtId="0" fontId="53" fillId="2" borderId="2" xfId="17" applyFont="1" applyFill="1" applyBorder="1" applyAlignment="1" applyProtection="1">
      <alignment horizontal="center" vertical="center"/>
      <protection locked="0"/>
    </xf>
    <xf numFmtId="0" fontId="52" fillId="0" borderId="30" xfId="17" applyFont="1" applyBorder="1" applyAlignment="1" applyProtection="1">
      <alignment vertical="center" wrapText="1"/>
      <protection locked="0"/>
    </xf>
    <xf numFmtId="0" fontId="52" fillId="2" borderId="30" xfId="17" applyFont="1" applyFill="1" applyBorder="1" applyAlignment="1" applyProtection="1">
      <alignment horizontal="left" vertical="center" wrapText="1"/>
      <protection locked="0"/>
    </xf>
    <xf numFmtId="0" fontId="53" fillId="0" borderId="2" xfId="17" applyFont="1" applyBorder="1" applyAlignment="1" applyProtection="1">
      <alignment horizontal="center" vertical="center"/>
      <protection locked="0"/>
    </xf>
    <xf numFmtId="0" fontId="54" fillId="9" borderId="1" xfId="17" applyFont="1" applyFill="1" applyBorder="1" applyAlignment="1" applyProtection="1">
      <alignment horizontal="center" vertical="center"/>
      <protection locked="0"/>
    </xf>
    <xf numFmtId="0" fontId="50" fillId="9" borderId="30" xfId="17" applyFont="1" applyFill="1" applyBorder="1" applyAlignment="1" applyProtection="1">
      <alignment vertical="center" wrapText="1"/>
      <protection locked="0"/>
    </xf>
    <xf numFmtId="166" fontId="50" fillId="11" borderId="30" xfId="18" applyNumberFormat="1" applyFont="1" applyFill="1" applyBorder="1" applyAlignment="1" applyProtection="1">
      <alignment horizontal="right" vertical="center"/>
      <protection locked="0"/>
    </xf>
    <xf numFmtId="0" fontId="52" fillId="12" borderId="30" xfId="17" applyFont="1" applyFill="1" applyBorder="1" applyAlignment="1" applyProtection="1">
      <alignment vertical="top" wrapText="1"/>
      <protection locked="0"/>
    </xf>
    <xf numFmtId="0" fontId="50" fillId="11" borderId="20" xfId="17" applyFont="1" applyFill="1" applyBorder="1" applyAlignment="1" applyProtection="1">
      <alignment horizontal="center" vertical="center"/>
      <protection locked="0"/>
    </xf>
    <xf numFmtId="166" fontId="52" fillId="2" borderId="1" xfId="18" applyNumberFormat="1" applyFont="1" applyFill="1" applyBorder="1" applyAlignment="1" applyProtection="1">
      <alignment horizontal="right" vertical="center"/>
      <protection locked="0"/>
    </xf>
    <xf numFmtId="0" fontId="51" fillId="11" borderId="20" xfId="17" applyFont="1" applyFill="1" applyBorder="1" applyProtection="1">
      <alignment vertical="center"/>
      <protection locked="0"/>
    </xf>
    <xf numFmtId="43" fontId="52" fillId="9" borderId="1" xfId="1" applyFont="1" applyFill="1" applyBorder="1" applyAlignment="1" applyProtection="1">
      <alignment horizontal="right" vertical="center"/>
    </xf>
    <xf numFmtId="0" fontId="53" fillId="12" borderId="1" xfId="17" applyFont="1" applyFill="1" applyBorder="1" applyAlignment="1" applyProtection="1">
      <alignment horizontal="center" vertical="center"/>
      <protection locked="0"/>
    </xf>
    <xf numFmtId="0" fontId="56" fillId="12" borderId="1" xfId="17" applyFont="1" applyFill="1" applyBorder="1" applyAlignment="1" applyProtection="1">
      <alignment horizontal="center" vertical="center"/>
      <protection locked="0"/>
    </xf>
    <xf numFmtId="0" fontId="48" fillId="0" borderId="0" xfId="0" applyFont="1" applyAlignment="1">
      <alignment wrapText="1"/>
    </xf>
    <xf numFmtId="14" fontId="4" fillId="0" borderId="0" xfId="0" applyNumberFormat="1" applyFont="1"/>
    <xf numFmtId="0" fontId="4" fillId="2" borderId="63" xfId="0" applyFont="1" applyFill="1" applyBorder="1"/>
    <xf numFmtId="0" fontId="4" fillId="2" borderId="76" xfId="0" applyFont="1" applyFill="1" applyBorder="1" applyAlignment="1">
      <alignment wrapText="1"/>
    </xf>
    <xf numFmtId="0" fontId="4" fillId="2" borderId="18" xfId="0" applyFont="1" applyFill="1" applyBorder="1"/>
    <xf numFmtId="0" fontId="33" fillId="2" borderId="35" xfId="0" applyFont="1" applyFill="1" applyBorder="1" applyAlignment="1">
      <alignment horizontal="center" wrapText="1"/>
    </xf>
    <xf numFmtId="0" fontId="4" fillId="0" borderId="1" xfId="0" applyFont="1" applyBorder="1" applyAlignment="1">
      <alignment horizontal="center"/>
    </xf>
    <xf numFmtId="0" fontId="4" fillId="2" borderId="65" xfId="0" applyFont="1" applyFill="1" applyBorder="1"/>
    <xf numFmtId="0" fontId="33" fillId="2" borderId="0" xfId="0" applyFont="1" applyFill="1" applyAlignment="1">
      <alignment horizontal="center" wrapText="1"/>
    </xf>
    <xf numFmtId="0" fontId="4" fillId="2" borderId="0" xfId="0" applyFont="1" applyFill="1" applyAlignment="1">
      <alignment horizontal="center"/>
    </xf>
    <xf numFmtId="0" fontId="4" fillId="2" borderId="77" xfId="0" applyFont="1" applyFill="1" applyBorder="1" applyAlignment="1">
      <alignment horizontal="center" vertical="center" wrapText="1"/>
    </xf>
    <xf numFmtId="0" fontId="4" fillId="0" borderId="1" xfId="0" applyFont="1" applyBorder="1" applyAlignment="1">
      <alignment wrapText="1"/>
    </xf>
    <xf numFmtId="166" fontId="4" fillId="0" borderId="19" xfId="1" applyNumberFormat="1" applyFont="1" applyBorder="1"/>
    <xf numFmtId="0" fontId="49" fillId="0" borderId="1" xfId="0" applyFont="1" applyBorder="1" applyAlignment="1">
      <alignment horizontal="left" wrapText="1" indent="2"/>
    </xf>
    <xf numFmtId="164" fontId="18" fillId="4" borderId="1" xfId="6" applyBorder="1"/>
    <xf numFmtId="43" fontId="0" fillId="0" borderId="0" xfId="1" applyFont="1"/>
    <xf numFmtId="0" fontId="49" fillId="0" borderId="1" xfId="0" applyFont="1" applyBorder="1" applyAlignment="1">
      <alignment horizontal="left" vertical="top" wrapText="1" indent="2"/>
    </xf>
    <xf numFmtId="166" fontId="4" fillId="0" borderId="1" xfId="1" applyNumberFormat="1" applyFont="1" applyBorder="1" applyAlignment="1"/>
    <xf numFmtId="166" fontId="4" fillId="0" borderId="1" xfId="1" applyNumberFormat="1" applyFont="1" applyBorder="1" applyAlignment="1">
      <alignment vertical="top"/>
    </xf>
    <xf numFmtId="0" fontId="33" fillId="0" borderId="12" xfId="0" applyFont="1" applyBorder="1"/>
    <xf numFmtId="0" fontId="33" fillId="0" borderId="1" xfId="0" applyFont="1" applyBorder="1" applyAlignment="1">
      <alignment wrapText="1"/>
    </xf>
    <xf numFmtId="166" fontId="33" fillId="0" borderId="19" xfId="1" applyNumberFormat="1" applyFont="1" applyBorder="1"/>
    <xf numFmtId="0" fontId="3" fillId="2" borderId="65" xfId="0" applyFont="1" applyFill="1" applyBorder="1" applyAlignment="1">
      <alignment horizontal="left"/>
    </xf>
    <xf numFmtId="0" fontId="33" fillId="2" borderId="0" xfId="0" applyFont="1" applyFill="1" applyAlignment="1">
      <alignment vertical="top" wrapText="1"/>
    </xf>
    <xf numFmtId="166" fontId="4" fillId="2" borderId="0" xfId="1" applyNumberFormat="1" applyFont="1" applyFill="1" applyBorder="1"/>
    <xf numFmtId="166" fontId="4" fillId="2" borderId="0" xfId="1" applyNumberFormat="1" applyFont="1" applyFill="1" applyBorder="1" applyAlignment="1">
      <alignment vertical="center"/>
    </xf>
    <xf numFmtId="166" fontId="4" fillId="2" borderId="77" xfId="1" applyNumberFormat="1" applyFont="1" applyFill="1" applyBorder="1"/>
    <xf numFmtId="166" fontId="4" fillId="0" borderId="19" xfId="1" applyNumberFormat="1" applyFont="1" applyFill="1" applyBorder="1"/>
    <xf numFmtId="0" fontId="49" fillId="0" borderId="1" xfId="0" applyFont="1" applyBorder="1" applyAlignment="1">
      <alignment horizontal="left" wrapText="1" indent="4"/>
    </xf>
    <xf numFmtId="0" fontId="4" fillId="2" borderId="0" xfId="0" applyFont="1" applyFill="1" applyAlignment="1">
      <alignment wrapText="1"/>
    </xf>
    <xf numFmtId="0" fontId="4" fillId="2" borderId="0" xfId="0" applyFont="1" applyFill="1"/>
    <xf numFmtId="0" fontId="4" fillId="2" borderId="77" xfId="0" applyFont="1" applyFill="1" applyBorder="1"/>
    <xf numFmtId="0" fontId="33" fillId="0" borderId="26" xfId="0" applyFont="1" applyBorder="1"/>
    <xf numFmtId="0" fontId="33" fillId="0" borderId="27" xfId="0" applyFont="1" applyBorder="1" applyAlignment="1">
      <alignment wrapText="1"/>
    </xf>
    <xf numFmtId="164" fontId="18" fillId="4" borderId="39" xfId="6" applyBorder="1"/>
    <xf numFmtId="10" fontId="33" fillId="0" borderId="28" xfId="2" applyNumberFormat="1" applyFont="1" applyBorder="1"/>
    <xf numFmtId="0" fontId="57" fillId="0" borderId="0" xfId="5" applyFont="1"/>
    <xf numFmtId="0" fontId="58" fillId="0" borderId="0" xfId="0" applyFont="1"/>
    <xf numFmtId="14" fontId="58" fillId="0" borderId="0" xfId="0" applyNumberFormat="1" applyFont="1" applyAlignment="1">
      <alignment horizontal="left"/>
    </xf>
    <xf numFmtId="0" fontId="59" fillId="0" borderId="0" xfId="5" applyFont="1"/>
    <xf numFmtId="0" fontId="61" fillId="0" borderId="1" xfId="0" applyFont="1" applyBorder="1" applyAlignment="1">
      <alignment horizontal="center" vertical="center" wrapText="1"/>
    </xf>
    <xf numFmtId="49" fontId="62" fillId="2" borderId="1" xfId="13" applyNumberFormat="1" applyFont="1" applyFill="1" applyBorder="1" applyAlignment="1" applyProtection="1">
      <alignment horizontal="right" vertical="center"/>
      <protection locked="0"/>
    </xf>
    <xf numFmtId="0" fontId="62" fillId="2" borderId="1" xfId="11" applyFont="1" applyFill="1" applyBorder="1" applyAlignment="1" applyProtection="1">
      <alignment horizontal="left" vertical="center" wrapText="1"/>
      <protection locked="0"/>
    </xf>
    <xf numFmtId="43" fontId="58" fillId="0" borderId="1" xfId="1" applyFont="1" applyFill="1" applyBorder="1"/>
    <xf numFmtId="43" fontId="58" fillId="0" borderId="1" xfId="1" applyFont="1" applyBorder="1"/>
    <xf numFmtId="0" fontId="58" fillId="0" borderId="1" xfId="0" applyFont="1" applyBorder="1"/>
    <xf numFmtId="43" fontId="58" fillId="0" borderId="0" xfId="0" applyNumberFormat="1" applyFont="1"/>
    <xf numFmtId="0" fontId="63" fillId="0" borderId="0" xfId="0" applyFont="1" applyAlignment="1">
      <alignment horizontal="right"/>
    </xf>
    <xf numFmtId="49" fontId="62" fillId="0" borderId="1" xfId="13" applyNumberFormat="1" applyFont="1" applyBorder="1" applyAlignment="1" applyProtection="1">
      <alignment horizontal="right" vertical="center"/>
      <protection locked="0"/>
    </xf>
    <xf numFmtId="0" fontId="62" fillId="0" borderId="1" xfId="11" applyFont="1" applyBorder="1" applyAlignment="1" applyProtection="1">
      <alignment horizontal="left" vertical="center" wrapText="1"/>
      <protection locked="0"/>
    </xf>
    <xf numFmtId="2" fontId="58" fillId="0" borderId="1" xfId="0" applyNumberFormat="1" applyFont="1" applyBorder="1"/>
    <xf numFmtId="3" fontId="63" fillId="0" borderId="0" xfId="0" applyNumberFormat="1" applyFont="1"/>
    <xf numFmtId="3" fontId="58" fillId="0" borderId="0" xfId="0" applyNumberFormat="1" applyFont="1"/>
    <xf numFmtId="0" fontId="64" fillId="0" borderId="1" xfId="11" applyFont="1" applyBorder="1" applyAlignment="1" applyProtection="1">
      <alignment horizontal="left" vertical="center" wrapText="1"/>
      <protection locked="0"/>
    </xf>
    <xf numFmtId="43" fontId="58" fillId="0" borderId="1" xfId="0" applyNumberFormat="1" applyFont="1" applyBorder="1"/>
    <xf numFmtId="49" fontId="65" fillId="0" borderId="1" xfId="13" applyNumberFormat="1" applyFont="1" applyBorder="1" applyAlignment="1" applyProtection="1">
      <alignment horizontal="right" vertical="center"/>
      <protection locked="0"/>
    </xf>
    <xf numFmtId="0" fontId="61" fillId="0" borderId="1" xfId="0" applyFont="1" applyBorder="1" applyAlignment="1">
      <alignment vertical="top" wrapText="1"/>
    </xf>
    <xf numFmtId="0" fontId="58" fillId="0" borderId="0" xfId="0" applyFont="1" applyAlignment="1">
      <alignment horizontal="left" vertical="top" wrapText="1"/>
    </xf>
    <xf numFmtId="0" fontId="57" fillId="0" borderId="0" xfId="0" applyFont="1"/>
    <xf numFmtId="0" fontId="57" fillId="0" borderId="0" xfId="0" applyFont="1" applyAlignment="1">
      <alignment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29" xfId="0" applyFont="1" applyBorder="1" applyAlignment="1">
      <alignment horizontal="center" vertical="center" wrapText="1"/>
    </xf>
    <xf numFmtId="49" fontId="62" fillId="2" borderId="1" xfId="13" applyNumberFormat="1" applyFont="1" applyFill="1" applyBorder="1" applyAlignment="1" applyProtection="1">
      <alignment horizontal="right" vertical="center" wrapText="1"/>
      <protection locked="0"/>
    </xf>
    <xf numFmtId="43" fontId="57" fillId="0" borderId="1" xfId="1" applyFont="1" applyBorder="1"/>
    <xf numFmtId="43" fontId="57" fillId="0" borderId="1" xfId="1" applyFont="1" applyFill="1" applyBorder="1"/>
    <xf numFmtId="0" fontId="57" fillId="0" borderId="1" xfId="0" applyFont="1" applyBorder="1"/>
    <xf numFmtId="170" fontId="57" fillId="7" borderId="1" xfId="21" applyFont="1" applyFill="1" applyBorder="1"/>
    <xf numFmtId="43" fontId="57" fillId="0" borderId="1" xfId="1" applyFont="1" applyBorder="1" applyAlignment="1">
      <alignment horizontal="right"/>
    </xf>
    <xf numFmtId="0" fontId="57" fillId="0" borderId="1" xfId="0" applyFont="1" applyBorder="1" applyAlignment="1">
      <alignment horizontal="right"/>
    </xf>
    <xf numFmtId="43" fontId="57" fillId="0" borderId="1" xfId="0" applyNumberFormat="1" applyFont="1" applyBorder="1" applyAlignment="1">
      <alignment horizontal="right"/>
    </xf>
    <xf numFmtId="49" fontId="62" fillId="0" borderId="1" xfId="13" applyNumberFormat="1" applyFont="1" applyBorder="1" applyAlignment="1" applyProtection="1">
      <alignment horizontal="right" vertical="center" wrapText="1"/>
      <protection locked="0"/>
    </xf>
    <xf numFmtId="43" fontId="57" fillId="0" borderId="1" xfId="1" applyFont="1" applyFill="1" applyBorder="1" applyAlignment="1">
      <alignment horizontal="right"/>
    </xf>
    <xf numFmtId="49" fontId="65" fillId="0" borderId="1" xfId="13" applyNumberFormat="1" applyFont="1" applyBorder="1" applyAlignment="1" applyProtection="1">
      <alignment horizontal="right" vertical="center" wrapText="1"/>
      <protection locked="0"/>
    </xf>
    <xf numFmtId="0" fontId="60" fillId="0" borderId="1" xfId="0" applyFont="1" applyBorder="1"/>
    <xf numFmtId="43" fontId="60" fillId="0" borderId="1" xfId="1" applyFont="1" applyBorder="1" applyAlignment="1">
      <alignment horizontal="right"/>
    </xf>
    <xf numFmtId="0" fontId="60" fillId="0" borderId="1" xfId="0" applyFont="1" applyBorder="1" applyAlignment="1">
      <alignment horizontal="right"/>
    </xf>
    <xf numFmtId="0" fontId="61" fillId="0" borderId="0" xfId="0" applyFont="1"/>
    <xf numFmtId="0" fontId="57" fillId="0" borderId="1" xfId="0" applyFont="1" applyBorder="1" applyAlignment="1">
      <alignment wrapText="1"/>
    </xf>
    <xf numFmtId="0" fontId="57" fillId="0" borderId="1" xfId="0" applyFont="1" applyBorder="1" applyAlignment="1">
      <alignment vertical="top" wrapText="1"/>
    </xf>
    <xf numFmtId="0" fontId="57" fillId="0" borderId="1" xfId="0" applyFont="1" applyBorder="1" applyAlignment="1">
      <alignment horizontal="left" indent="8"/>
    </xf>
    <xf numFmtId="0" fontId="58" fillId="0" borderId="0" xfId="0" applyFont="1" applyAlignment="1">
      <alignment wrapText="1"/>
    </xf>
    <xf numFmtId="0" fontId="57" fillId="0" borderId="30" xfId="0" applyFont="1" applyBorder="1" applyAlignment="1">
      <alignment horizontal="center" vertical="center" wrapText="1"/>
    </xf>
    <xf numFmtId="0" fontId="57" fillId="0" borderId="1" xfId="0" applyFont="1" applyBorder="1" applyAlignment="1">
      <alignment horizontal="left" vertical="center" wrapText="1"/>
    </xf>
    <xf numFmtId="43" fontId="60" fillId="0" borderId="1" xfId="1" applyFont="1" applyBorder="1"/>
    <xf numFmtId="43" fontId="60" fillId="0" borderId="1" xfId="0" applyNumberFormat="1" applyFont="1" applyBorder="1"/>
    <xf numFmtId="0" fontId="58" fillId="0" borderId="0" xfId="0" applyFont="1" applyAlignment="1">
      <alignment horizontal="left"/>
    </xf>
    <xf numFmtId="0" fontId="63" fillId="0" borderId="0" xfId="0" applyFont="1"/>
    <xf numFmtId="43" fontId="63" fillId="0" borderId="0" xfId="0" applyNumberFormat="1" applyFont="1"/>
    <xf numFmtId="166" fontId="58" fillId="0" borderId="0" xfId="0" applyNumberFormat="1" applyFont="1"/>
    <xf numFmtId="0" fontId="60" fillId="0" borderId="1" xfId="0" applyFont="1" applyBorder="1" applyAlignment="1">
      <alignment horizontal="left" indent="1"/>
    </xf>
    <xf numFmtId="0" fontId="60" fillId="0" borderId="1" xfId="0" applyFont="1" applyBorder="1" applyAlignment="1">
      <alignment horizontal="left" wrapText="1" indent="1"/>
    </xf>
    <xf numFmtId="43" fontId="61" fillId="0" borderId="1" xfId="1" applyFont="1" applyBorder="1"/>
    <xf numFmtId="0" fontId="57" fillId="0" borderId="1" xfId="0" applyFont="1" applyBorder="1" applyAlignment="1">
      <alignment horizontal="left" indent="1"/>
    </xf>
    <xf numFmtId="0" fontId="57" fillId="0" borderId="1" xfId="0" applyFont="1" applyBorder="1" applyAlignment="1">
      <alignment horizontal="left" indent="3"/>
    </xf>
    <xf numFmtId="0" fontId="57" fillId="0" borderId="1" xfId="0" applyFont="1" applyBorder="1" applyAlignment="1">
      <alignment horizontal="left" wrapText="1" indent="4"/>
    </xf>
    <xf numFmtId="0" fontId="57" fillId="0" borderId="1" xfId="0" applyFont="1" applyBorder="1" applyAlignment="1">
      <alignment horizontal="left" wrapText="1" indent="1"/>
    </xf>
    <xf numFmtId="0" fontId="60" fillId="0" borderId="1" xfId="0" applyFont="1" applyBorder="1" applyAlignment="1">
      <alignment horizontal="left" vertical="center" indent="1"/>
    </xf>
    <xf numFmtId="166" fontId="63" fillId="0" borderId="0" xfId="0" applyNumberFormat="1" applyFont="1"/>
    <xf numFmtId="0" fontId="58" fillId="0" borderId="0" xfId="0" applyFont="1" applyAlignment="1">
      <alignment vertical="top" wrapText="1"/>
    </xf>
    <xf numFmtId="0" fontId="60" fillId="0" borderId="1" xfId="0" applyFont="1" applyBorder="1" applyAlignment="1">
      <alignment horizontal="center" vertical="center" wrapText="1"/>
    </xf>
    <xf numFmtId="0" fontId="57" fillId="13" borderId="1" xfId="0" applyFont="1" applyFill="1" applyBorder="1"/>
    <xf numFmtId="0" fontId="57" fillId="0" borderId="1" xfId="0" applyFont="1" applyBorder="1" applyAlignment="1">
      <alignment horizontal="left" wrapText="1"/>
    </xf>
    <xf numFmtId="0" fontId="57" fillId="0" borderId="1" xfId="0" applyFont="1" applyBorder="1" applyAlignment="1">
      <alignment horizontal="left" wrapText="1" indent="2"/>
    </xf>
    <xf numFmtId="0" fontId="60" fillId="0" borderId="29" xfId="0" applyFont="1" applyBorder="1"/>
    <xf numFmtId="0" fontId="57" fillId="0" borderId="0" xfId="5" applyFont="1" applyAlignment="1">
      <alignment vertical="top" wrapText="1"/>
    </xf>
    <xf numFmtId="0" fontId="57" fillId="0" borderId="0" xfId="0" applyFont="1" applyAlignment="1">
      <alignment horizontal="center" vertical="center"/>
    </xf>
    <xf numFmtId="0" fontId="57" fillId="0" borderId="0" xfId="0" applyFont="1" applyAlignment="1">
      <alignment horizontal="center"/>
    </xf>
    <xf numFmtId="43" fontId="57" fillId="0" borderId="0" xfId="0" applyNumberFormat="1" applyFont="1"/>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0" xfId="0" applyFont="1" applyAlignment="1">
      <alignment horizontal="center" vertical="center" wrapText="1"/>
    </xf>
    <xf numFmtId="0" fontId="57" fillId="0" borderId="35" xfId="0" applyFont="1" applyBorder="1" applyAlignment="1">
      <alignment horizontal="center" vertical="center" wrapText="1"/>
    </xf>
    <xf numFmtId="0" fontId="57" fillId="0" borderId="29" xfId="0" applyFont="1" applyBorder="1" applyAlignment="1">
      <alignment wrapText="1"/>
    </xf>
    <xf numFmtId="0" fontId="57" fillId="0" borderId="15" xfId="0" applyFont="1" applyBorder="1" applyAlignment="1">
      <alignment wrapText="1"/>
    </xf>
    <xf numFmtId="0" fontId="57" fillId="0" borderId="1" xfId="0" applyFont="1" applyBorder="1" applyAlignment="1">
      <alignment horizontal="center"/>
    </xf>
    <xf numFmtId="0" fontId="60" fillId="0" borderId="1" xfId="0" applyFont="1" applyBorder="1" applyAlignment="1">
      <alignment vertical="top" wrapText="1"/>
    </xf>
    <xf numFmtId="0" fontId="60" fillId="8" borderId="1" xfId="0" applyFont="1" applyFill="1" applyBorder="1"/>
    <xf numFmtId="14" fontId="57" fillId="0" borderId="0" xfId="0" applyNumberFormat="1" applyFont="1"/>
    <xf numFmtId="0" fontId="57" fillId="0" borderId="19" xfId="0" applyFont="1" applyBorder="1"/>
    <xf numFmtId="0" fontId="57" fillId="0" borderId="12" xfId="0" applyFont="1" applyBorder="1" applyAlignment="1">
      <alignment horizontal="left" indent="1"/>
    </xf>
    <xf numFmtId="49" fontId="57" fillId="0" borderId="19" xfId="0" applyNumberFormat="1" applyFont="1" applyBorder="1" applyAlignment="1">
      <alignment horizontal="left" indent="1"/>
    </xf>
    <xf numFmtId="43" fontId="57" fillId="14" borderId="12" xfId="1" applyFont="1" applyFill="1" applyBorder="1"/>
    <xf numFmtId="0" fontId="57" fillId="14" borderId="1" xfId="0" applyFont="1" applyFill="1" applyBorder="1"/>
    <xf numFmtId="0" fontId="57" fillId="14" borderId="19" xfId="0" applyFont="1" applyFill="1" applyBorder="1"/>
    <xf numFmtId="49" fontId="57" fillId="0" borderId="12" xfId="0" applyNumberFormat="1" applyFont="1" applyBorder="1" applyAlignment="1">
      <alignment horizontal="left" wrapText="1" indent="2"/>
    </xf>
    <xf numFmtId="49" fontId="57" fillId="0" borderId="19" xfId="0" applyNumberFormat="1" applyFont="1" applyBorder="1" applyAlignment="1">
      <alignment horizontal="left" vertical="top" wrapText="1" indent="2"/>
    </xf>
    <xf numFmtId="43" fontId="57" fillId="0" borderId="12" xfId="1" applyFont="1" applyBorder="1" applyAlignment="1">
      <alignment horizontal="left" vertical="center" wrapText="1" indent="2"/>
    </xf>
    <xf numFmtId="49" fontId="57" fillId="0" borderId="12" xfId="0" applyNumberFormat="1" applyFont="1" applyBorder="1" applyAlignment="1">
      <alignment horizontal="left" wrapText="1" indent="3"/>
    </xf>
    <xf numFmtId="49" fontId="57" fillId="0" borderId="19" xfId="0" applyNumberFormat="1" applyFont="1" applyBorder="1" applyAlignment="1">
      <alignment horizontal="left" wrapText="1" indent="3"/>
    </xf>
    <xf numFmtId="49" fontId="57" fillId="0" borderId="19" xfId="0" applyNumberFormat="1" applyFont="1" applyBorder="1" applyAlignment="1">
      <alignment horizontal="left" wrapText="1" indent="2"/>
    </xf>
    <xf numFmtId="0" fontId="57" fillId="0" borderId="12" xfId="0" applyFont="1" applyBorder="1" applyAlignment="1">
      <alignment horizontal="left" wrapText="1" indent="1"/>
    </xf>
    <xf numFmtId="49" fontId="57" fillId="0" borderId="19" xfId="0" applyNumberFormat="1" applyFont="1" applyBorder="1" applyAlignment="1">
      <alignment horizontal="left" wrapText="1" indent="1"/>
    </xf>
    <xf numFmtId="43" fontId="57" fillId="0" borderId="12" xfId="1" applyFont="1" applyBorder="1" applyAlignment="1">
      <alignment horizontal="left" wrapText="1" indent="1"/>
    </xf>
    <xf numFmtId="0" fontId="57" fillId="0" borderId="26" xfId="0" applyFont="1" applyBorder="1" applyAlignment="1">
      <alignment horizontal="left" wrapText="1" indent="1"/>
    </xf>
    <xf numFmtId="49" fontId="57" fillId="0" borderId="28" xfId="0" applyNumberFormat="1" applyFont="1" applyBorder="1" applyAlignment="1">
      <alignment vertical="top" wrapText="1"/>
    </xf>
    <xf numFmtId="43" fontId="57" fillId="0" borderId="26" xfId="1" applyFont="1" applyBorder="1" applyAlignment="1">
      <alignment horizontal="left" wrapText="1" indent="1"/>
    </xf>
    <xf numFmtId="43" fontId="57" fillId="0" borderId="27" xfId="1" applyFont="1" applyBorder="1"/>
    <xf numFmtId="0" fontId="57" fillId="0" borderId="27" xfId="0" applyFont="1" applyBorder="1"/>
    <xf numFmtId="0" fontId="57" fillId="0" borderId="28" xfId="0" applyFont="1" applyBorder="1"/>
    <xf numFmtId="0" fontId="60" fillId="0" borderId="34" xfId="0" applyFont="1" applyBorder="1" applyAlignment="1">
      <alignment horizontal="left" vertical="center" wrapText="1"/>
    </xf>
    <xf numFmtId="43" fontId="57" fillId="0" borderId="1" xfId="1" applyFont="1" applyBorder="1" applyAlignment="1">
      <alignment horizontal="left" vertical="center" wrapText="1"/>
    </xf>
    <xf numFmtId="0" fontId="60" fillId="0" borderId="1" xfId="0" applyFont="1" applyBorder="1" applyAlignment="1">
      <alignment horizontal="left" vertical="center" wrapText="1"/>
    </xf>
    <xf numFmtId="43" fontId="60" fillId="0" borderId="1" xfId="0" applyNumberFormat="1" applyFont="1" applyBorder="1" applyAlignment="1">
      <alignment horizontal="left" vertical="center" wrapText="1"/>
    </xf>
    <xf numFmtId="0" fontId="62" fillId="0" borderId="0" xfId="0" applyFont="1"/>
    <xf numFmtId="0" fontId="62" fillId="0" borderId="0" xfId="0" applyFont="1" applyAlignment="1">
      <alignment horizontal="center" vertical="center"/>
    </xf>
    <xf numFmtId="0" fontId="68" fillId="0" borderId="0" xfId="0" applyFont="1"/>
    <xf numFmtId="0" fontId="69" fillId="0" borderId="0" xfId="0" applyFont="1"/>
    <xf numFmtId="43" fontId="68" fillId="0" borderId="0" xfId="0" applyNumberFormat="1" applyFont="1"/>
    <xf numFmtId="43" fontId="62" fillId="0" borderId="1" xfId="1" applyFont="1" applyBorder="1"/>
    <xf numFmtId="0" fontId="69" fillId="0" borderId="0" xfId="0" applyFont="1" applyAlignment="1">
      <alignment vertical="top" wrapText="1"/>
    </xf>
    <xf numFmtId="0" fontId="71" fillId="0" borderId="0" xfId="0" applyFont="1"/>
    <xf numFmtId="0" fontId="71" fillId="0" borderId="29" xfId="0" applyFont="1" applyBorder="1"/>
    <xf numFmtId="0" fontId="62" fillId="0" borderId="1" xfId="0" applyFont="1" applyBorder="1" applyAlignment="1">
      <alignment horizontal="left" indent="2"/>
    </xf>
    <xf numFmtId="0" fontId="57" fillId="0" borderId="89" xfId="0" applyFont="1" applyBorder="1" applyAlignment="1">
      <alignment vertical="center" wrapText="1" readingOrder="1"/>
    </xf>
    <xf numFmtId="43" fontId="62" fillId="0" borderId="1" xfId="0" applyNumberFormat="1" applyFont="1" applyBorder="1"/>
    <xf numFmtId="0" fontId="62" fillId="0" borderId="1" xfId="0" applyFont="1" applyBorder="1"/>
    <xf numFmtId="9" fontId="62" fillId="0" borderId="1" xfId="0" applyNumberFormat="1" applyFont="1" applyBorder="1"/>
    <xf numFmtId="0" fontId="57" fillId="0" borderId="90" xfId="0" applyFont="1" applyBorder="1" applyAlignment="1">
      <alignment vertical="center" wrapText="1" readingOrder="1"/>
    </xf>
    <xf numFmtId="0" fontId="71" fillId="8" borderId="0" xfId="0" applyFont="1" applyFill="1"/>
    <xf numFmtId="0" fontId="62" fillId="0" borderId="2" xfId="0" applyFont="1" applyBorder="1" applyAlignment="1">
      <alignment horizontal="left" indent="2"/>
    </xf>
    <xf numFmtId="0" fontId="57" fillId="0" borderId="91" xfId="0" applyFont="1" applyBorder="1" applyAlignment="1">
      <alignment vertical="center" wrapText="1" readingOrder="1"/>
    </xf>
    <xf numFmtId="43" fontId="62" fillId="0" borderId="2" xfId="1" applyFont="1" applyBorder="1"/>
    <xf numFmtId="0" fontId="62" fillId="0" borderId="2" xfId="0" applyFont="1" applyBorder="1"/>
    <xf numFmtId="9" fontId="62" fillId="0" borderId="2" xfId="0" applyNumberFormat="1" applyFont="1" applyBorder="1"/>
    <xf numFmtId="0" fontId="60" fillId="0" borderId="1" xfId="0" applyFont="1" applyBorder="1" applyAlignment="1">
      <alignment vertical="center" wrapText="1" readingOrder="1"/>
    </xf>
    <xf numFmtId="0" fontId="62" fillId="0" borderId="1" xfId="0" applyFont="1" applyBorder="1" applyAlignment="1">
      <alignment horizontal="left" indent="3"/>
    </xf>
    <xf numFmtId="0" fontId="57" fillId="0" borderId="90" xfId="0" applyFont="1" applyBorder="1" applyAlignment="1">
      <alignment horizontal="left" vertical="center" wrapText="1" indent="1" readingOrder="1"/>
    </xf>
    <xf numFmtId="0" fontId="71" fillId="0" borderId="0" xfId="0" applyFont="1" applyAlignment="1">
      <alignment vertical="top" wrapText="1"/>
    </xf>
    <xf numFmtId="9" fontId="2" fillId="0" borderId="0" xfId="2" applyFont="1"/>
    <xf numFmtId="10" fontId="2" fillId="0" borderId="0" xfId="2" applyNumberFormat="1" applyFont="1"/>
    <xf numFmtId="43" fontId="2" fillId="0" borderId="0" xfId="1" applyFont="1"/>
    <xf numFmtId="43" fontId="71" fillId="0" borderId="0" xfId="0" applyNumberFormat="1" applyFont="1"/>
    <xf numFmtId="0" fontId="72" fillId="0" borderId="0" xfId="0" applyFont="1"/>
    <xf numFmtId="0" fontId="72" fillId="0" borderId="0" xfId="0" applyFont="1" applyAlignment="1">
      <alignment horizontal="left" vertical="center" wrapText="1"/>
    </xf>
    <xf numFmtId="0" fontId="72" fillId="0" borderId="0" xfId="0" applyFont="1" applyAlignment="1">
      <alignment vertical="center" wrapText="1"/>
    </xf>
    <xf numFmtId="49" fontId="72" fillId="0" borderId="0" xfId="0" applyNumberFormat="1" applyFont="1" applyAlignment="1">
      <alignment horizontal="right" vertical="center"/>
    </xf>
    <xf numFmtId="0" fontId="57" fillId="0" borderId="0" xfId="0" applyFont="1" applyAlignment="1">
      <alignment vertical="center" wrapText="1"/>
    </xf>
    <xf numFmtId="0" fontId="69" fillId="0" borderId="0" xfId="0" applyFont="1" applyAlignment="1">
      <alignment horizontal="left" vertical="center" wrapText="1"/>
    </xf>
    <xf numFmtId="0" fontId="57" fillId="0" borderId="0" xfId="0" applyFont="1" applyAlignment="1">
      <alignment horizontal="left" vertical="center" wrapText="1"/>
    </xf>
    <xf numFmtId="0" fontId="73" fillId="0" borderId="0" xfId="0" applyFont="1" applyAlignment="1">
      <alignment horizontal="left" vertical="center" wrapText="1" readingOrder="1"/>
    </xf>
    <xf numFmtId="0" fontId="69" fillId="0" borderId="0" xfId="0" applyFont="1" applyAlignment="1">
      <alignment horizontal="left" indent="2"/>
    </xf>
    <xf numFmtId="0" fontId="57" fillId="0" borderId="0" xfId="0" applyFont="1" applyAlignment="1">
      <alignment horizontal="left" vertical="center" indent="1"/>
    </xf>
    <xf numFmtId="0" fontId="72" fillId="0" borderId="1" xfId="0" applyFont="1" applyBorder="1" applyAlignment="1">
      <alignment vertical="center" wrapText="1"/>
    </xf>
    <xf numFmtId="0" fontId="72" fillId="0" borderId="1" xfId="0" applyFont="1" applyBorder="1" applyAlignment="1">
      <alignment horizontal="left" vertical="center" wrapText="1"/>
    </xf>
    <xf numFmtId="0" fontId="72" fillId="0" borderId="1" xfId="0" applyFont="1" applyBorder="1" applyAlignment="1">
      <alignment horizontal="left" vertical="center" wrapText="1" readingOrder="1"/>
    </xf>
    <xf numFmtId="0" fontId="72" fillId="0" borderId="2" xfId="0" applyFont="1" applyBorder="1" applyAlignment="1">
      <alignment vertical="center" wrapText="1"/>
    </xf>
    <xf numFmtId="0" fontId="72" fillId="0" borderId="91" xfId="0" applyFont="1" applyBorder="1" applyAlignment="1">
      <alignment horizontal="left" vertical="center" wrapText="1" readingOrder="1"/>
    </xf>
    <xf numFmtId="0" fontId="72" fillId="0" borderId="2" xfId="0" applyFont="1" applyBorder="1" applyAlignment="1">
      <alignment horizontal="left" indent="2"/>
    </xf>
    <xf numFmtId="0" fontId="72" fillId="0" borderId="1" xfId="0" applyFont="1" applyBorder="1" applyAlignment="1">
      <alignment horizontal="left" indent="2"/>
    </xf>
    <xf numFmtId="0" fontId="72" fillId="0" borderId="1" xfId="0" applyFont="1" applyBorder="1" applyAlignment="1">
      <alignment horizontal="left" vertical="center" indent="1"/>
    </xf>
    <xf numFmtId="0" fontId="72" fillId="0" borderId="1" xfId="0" applyFont="1" applyBorder="1" applyAlignment="1">
      <alignment horizontal="left" vertical="center" wrapText="1" indent="1"/>
    </xf>
    <xf numFmtId="0" fontId="58" fillId="0" borderId="0" xfId="0" applyFont="1" applyAlignment="1">
      <alignment horizontal="left" wrapText="1" indent="1"/>
    </xf>
    <xf numFmtId="49" fontId="58" fillId="0" borderId="0" xfId="0" applyNumberFormat="1" applyFont="1" applyAlignment="1">
      <alignment horizontal="left" wrapText="1" indent="3"/>
    </xf>
    <xf numFmtId="49" fontId="58" fillId="0" borderId="0" xfId="0" applyNumberFormat="1" applyFont="1" applyAlignment="1">
      <alignment horizontal="left" wrapText="1" indent="2"/>
    </xf>
    <xf numFmtId="0" fontId="72" fillId="0" borderId="1" xfId="0" applyFont="1" applyBorder="1" applyAlignment="1">
      <alignment horizontal="left" vertical="top" wrapText="1"/>
    </xf>
    <xf numFmtId="0" fontId="72" fillId="0" borderId="1" xfId="0" applyFont="1" applyBorder="1" applyAlignment="1">
      <alignment horizontal="right" vertical="center"/>
    </xf>
    <xf numFmtId="49" fontId="58" fillId="0" borderId="0" xfId="0" applyNumberFormat="1" applyFont="1" applyAlignment="1">
      <alignment horizontal="left" indent="1"/>
    </xf>
    <xf numFmtId="49" fontId="72" fillId="0" borderId="1" xfId="0" applyNumberFormat="1" applyFont="1" applyBorder="1" applyAlignment="1">
      <alignment horizontal="right" vertical="center"/>
    </xf>
    <xf numFmtId="49" fontId="58" fillId="0" borderId="0" xfId="0" applyNumberFormat="1" applyFont="1" applyAlignment="1">
      <alignment horizontal="left" indent="3"/>
    </xf>
    <xf numFmtId="0" fontId="72" fillId="0" borderId="2" xfId="0" applyFont="1" applyBorder="1" applyAlignment="1">
      <alignment horizontal="left" vertical="top" wrapText="1"/>
    </xf>
    <xf numFmtId="49" fontId="72" fillId="0" borderId="1" xfId="0" applyNumberFormat="1" applyFont="1" applyBorder="1" applyAlignment="1">
      <alignment vertical="top" wrapText="1"/>
    </xf>
    <xf numFmtId="49" fontId="72" fillId="0" borderId="1" xfId="0" applyNumberFormat="1" applyFont="1" applyBorder="1" applyAlignment="1">
      <alignment horizontal="left" vertical="top" wrapText="1" indent="2"/>
    </xf>
    <xf numFmtId="0" fontId="58" fillId="0" borderId="0" xfId="0" applyFont="1" applyAlignment="1">
      <alignment horizontal="left" indent="2"/>
    </xf>
    <xf numFmtId="0" fontId="58" fillId="0" borderId="0" xfId="0" applyFont="1" applyAlignment="1">
      <alignment horizontal="left" indent="1"/>
    </xf>
    <xf numFmtId="49" fontId="72" fillId="0" borderId="1" xfId="0" applyNumberFormat="1" applyFont="1" applyBorder="1" applyAlignment="1">
      <alignment horizontal="left" vertical="center" wrapText="1" indent="3"/>
    </xf>
    <xf numFmtId="49" fontId="72" fillId="0" borderId="1" xfId="0" applyNumberFormat="1" applyFont="1" applyBorder="1" applyAlignment="1">
      <alignment horizontal="left" wrapText="1" indent="2"/>
    </xf>
    <xf numFmtId="49" fontId="72" fillId="0" borderId="1" xfId="0" applyNumberFormat="1" applyFont="1" applyBorder="1" applyAlignment="1">
      <alignment horizontal="left" vertical="top" wrapText="1"/>
    </xf>
    <xf numFmtId="49" fontId="72" fillId="0" borderId="1" xfId="0" applyNumberFormat="1" applyFont="1" applyBorder="1" applyAlignment="1">
      <alignment horizontal="left" wrapText="1" indent="3"/>
    </xf>
    <xf numFmtId="49" fontId="72" fillId="0" borderId="1" xfId="0" applyNumberFormat="1" applyFont="1" applyBorder="1" applyAlignment="1">
      <alignment vertical="center"/>
    </xf>
    <xf numFmtId="49" fontId="72" fillId="0" borderId="1" xfId="0" applyNumberFormat="1" applyFont="1" applyBorder="1" applyAlignment="1">
      <alignment horizontal="left" indent="3"/>
    </xf>
    <xf numFmtId="0" fontId="72" fillId="0" borderId="1" xfId="0" applyFont="1" applyBorder="1" applyAlignment="1">
      <alignment horizontal="left" indent="1"/>
    </xf>
    <xf numFmtId="0" fontId="72" fillId="0" borderId="30" xfId="0" applyFont="1" applyBorder="1" applyAlignment="1">
      <alignment horizontal="left" vertical="center" wrapText="1"/>
    </xf>
    <xf numFmtId="0" fontId="72" fillId="0" borderId="1" xfId="0" applyFont="1" applyBorder="1" applyAlignment="1">
      <alignment horizontal="left" wrapText="1" indent="2"/>
    </xf>
    <xf numFmtId="0" fontId="70" fillId="0" borderId="29" xfId="0" applyFont="1" applyBorder="1" applyAlignment="1">
      <alignment wrapText="1"/>
    </xf>
    <xf numFmtId="0" fontId="72" fillId="0" borderId="1" xfId="0" applyFont="1" applyBorder="1" applyAlignment="1">
      <alignment horizontal="left" vertical="top" wrapText="1" indent="2"/>
    </xf>
    <xf numFmtId="0" fontId="72" fillId="0" borderId="1" xfId="0" applyFont="1" applyBorder="1" applyAlignment="1">
      <alignment horizontal="left" wrapText="1"/>
    </xf>
    <xf numFmtId="0" fontId="72" fillId="0" borderId="1" xfId="22" applyFont="1" applyBorder="1" applyAlignment="1">
      <alignment horizontal="left" vertical="center" wrapText="1" indent="2"/>
    </xf>
    <xf numFmtId="0" fontId="72" fillId="0" borderId="1" xfId="0" applyFont="1" applyBorder="1" applyAlignment="1">
      <alignment wrapText="1"/>
    </xf>
    <xf numFmtId="0" fontId="72" fillId="0" borderId="1" xfId="0" applyFont="1" applyBorder="1"/>
    <xf numFmtId="0" fontId="72" fillId="0" borderId="1" xfId="22" applyFont="1" applyBorder="1" applyAlignment="1">
      <alignment horizontal="left" vertical="center" wrapText="1"/>
    </xf>
    <xf numFmtId="0" fontId="70" fillId="0" borderId="1" xfId="0" applyFont="1" applyBorder="1" applyAlignment="1">
      <alignment wrapText="1"/>
    </xf>
    <xf numFmtId="0" fontId="75" fillId="0" borderId="0" xfId="0" applyFont="1"/>
    <xf numFmtId="0" fontId="72" fillId="2" borderId="1" xfId="13" applyFont="1" applyFill="1" applyBorder="1" applyAlignment="1" applyProtection="1">
      <alignment horizontal="right" vertical="center"/>
      <protection locked="0"/>
    </xf>
    <xf numFmtId="2" fontId="72" fillId="2" borderId="1" xfId="13" applyNumberFormat="1" applyFont="1" applyFill="1" applyBorder="1" applyAlignment="1" applyProtection="1">
      <alignment horizontal="right" vertical="center"/>
      <protection locked="0"/>
    </xf>
    <xf numFmtId="0" fontId="72" fillId="0" borderId="1" xfId="0" applyFont="1" applyBorder="1" applyAlignment="1">
      <alignment vertical="center"/>
    </xf>
    <xf numFmtId="0" fontId="72" fillId="0" borderId="30" xfId="11" applyFont="1" applyBorder="1" applyAlignment="1" applyProtection="1">
      <alignment horizontal="left" vertical="top" wrapText="1"/>
      <protection locked="0"/>
    </xf>
    <xf numFmtId="0" fontId="72" fillId="0" borderId="20" xfId="11" applyFont="1" applyBorder="1" applyAlignment="1" applyProtection="1">
      <alignment horizontal="left" vertical="top" wrapText="1"/>
      <protection locked="0"/>
    </xf>
    <xf numFmtId="0" fontId="72" fillId="0" borderId="94" xfId="0" applyFont="1" applyBorder="1" applyAlignment="1">
      <alignment horizontal="left" vertical="center" wrapText="1"/>
    </xf>
    <xf numFmtId="0" fontId="72" fillId="0" borderId="94" xfId="0" applyFont="1" applyBorder="1" applyAlignment="1">
      <alignment vertical="center" wrapText="1"/>
    </xf>
    <xf numFmtId="0" fontId="72" fillId="0" borderId="94" xfId="0" applyFont="1" applyBorder="1" applyAlignment="1">
      <alignment horizontal="right" vertical="center"/>
    </xf>
    <xf numFmtId="0" fontId="72" fillId="0" borderId="95" xfId="0" applyFont="1" applyBorder="1" applyAlignment="1">
      <alignment horizontal="left" vertical="center"/>
    </xf>
    <xf numFmtId="0" fontId="72" fillId="0" borderId="95" xfId="0" applyFont="1" applyBorder="1" applyAlignment="1">
      <alignment horizontal="right" vertical="center"/>
    </xf>
    <xf numFmtId="49" fontId="72" fillId="0" borderId="102" xfId="0" applyNumberFormat="1" applyFont="1" applyBorder="1" applyAlignment="1">
      <alignment horizontal="right" vertical="center"/>
    </xf>
    <xf numFmtId="49" fontId="72" fillId="0" borderId="29" xfId="0" applyNumberFormat="1" applyFont="1" applyBorder="1" applyAlignment="1">
      <alignment horizontal="right" vertical="center"/>
    </xf>
    <xf numFmtId="49" fontId="72" fillId="0" borderId="108" xfId="0" applyNumberFormat="1" applyFont="1" applyBorder="1" applyAlignment="1">
      <alignment horizontal="right" vertical="center"/>
    </xf>
    <xf numFmtId="0" fontId="72" fillId="0" borderId="0" xfId="0" applyFont="1" applyAlignment="1">
      <alignment horizontal="left"/>
    </xf>
    <xf numFmtId="49" fontId="72" fillId="0" borderId="94" xfId="0" applyNumberFormat="1" applyFont="1" applyBorder="1" applyAlignment="1">
      <alignment horizontal="right" vertical="center"/>
    </xf>
    <xf numFmtId="3" fontId="36" fillId="0" borderId="20" xfId="0" applyNumberFormat="1" applyFont="1" applyBorder="1" applyAlignment="1">
      <alignment vertical="center" wrapText="1"/>
    </xf>
    <xf numFmtId="0" fontId="8" fillId="0" borderId="1" xfId="11" applyFont="1" applyBorder="1" applyAlignment="1" applyProtection="1">
      <alignment vertical="center" wrapText="1"/>
      <protection locked="0"/>
    </xf>
    <xf numFmtId="166" fontId="2" fillId="0" borderId="0" xfId="1" applyNumberFormat="1" applyFont="1" applyFill="1"/>
    <xf numFmtId="166" fontId="41" fillId="0" borderId="0" xfId="1" applyNumberFormat="1" applyFont="1" applyFill="1"/>
    <xf numFmtId="168" fontId="52" fillId="0" borderId="1" xfId="18" applyNumberFormat="1" applyFont="1" applyFill="1" applyBorder="1" applyAlignment="1" applyProtection="1">
      <alignment horizontal="right" vertical="center"/>
      <protection locked="0"/>
    </xf>
    <xf numFmtId="166" fontId="2" fillId="0" borderId="0" xfId="0" applyNumberFormat="1" applyFont="1"/>
    <xf numFmtId="166" fontId="66" fillId="0" borderId="0" xfId="1" applyNumberFormat="1" applyFont="1" applyFill="1"/>
    <xf numFmtId="2" fontId="58" fillId="0" borderId="0" xfId="0" applyNumberFormat="1" applyFont="1"/>
    <xf numFmtId="166" fontId="63" fillId="0" borderId="0" xfId="1" applyNumberFormat="1" applyFont="1" applyFill="1"/>
    <xf numFmtId="43" fontId="57" fillId="0" borderId="0" xfId="1" applyFont="1" applyFill="1"/>
    <xf numFmtId="43" fontId="66" fillId="0" borderId="0" xfId="0" applyNumberFormat="1" applyFont="1"/>
    <xf numFmtId="43" fontId="60" fillId="0" borderId="1" xfId="1" applyFont="1" applyFill="1" applyBorder="1" applyAlignment="1">
      <alignment horizontal="left" indent="1"/>
    </xf>
    <xf numFmtId="166" fontId="57" fillId="0" borderId="1" xfId="1" applyNumberFormat="1" applyFont="1" applyFill="1" applyBorder="1" applyAlignment="1">
      <alignment horizontal="left" indent="1"/>
    </xf>
    <xf numFmtId="166" fontId="57" fillId="0" borderId="1" xfId="1" applyNumberFormat="1" applyFont="1" applyFill="1" applyBorder="1"/>
    <xf numFmtId="0" fontId="57" fillId="0" borderId="38" xfId="0" applyFont="1" applyBorder="1"/>
    <xf numFmtId="0" fontId="60" fillId="0" borderId="42" xfId="0" applyFont="1" applyBorder="1"/>
    <xf numFmtId="43" fontId="60" fillId="0" borderId="38" xfId="0" applyNumberFormat="1" applyFont="1" applyBorder="1"/>
    <xf numFmtId="0" fontId="57" fillId="0" borderId="19" xfId="0" applyFont="1" applyBorder="1" applyAlignment="1">
      <alignment horizontal="left" indent="1"/>
    </xf>
    <xf numFmtId="43" fontId="57" fillId="0" borderId="12" xfId="1" applyFont="1" applyFill="1" applyBorder="1" applyAlignment="1">
      <alignment horizontal="left" indent="1"/>
    </xf>
    <xf numFmtId="0" fontId="57" fillId="0" borderId="12" xfId="0" applyFont="1" applyBorder="1" applyAlignment="1">
      <alignment horizontal="left" indent="2"/>
    </xf>
    <xf numFmtId="0" fontId="57" fillId="0" borderId="19" xfId="0" applyFont="1" applyBorder="1" applyAlignment="1">
      <alignment horizontal="left" indent="2"/>
    </xf>
    <xf numFmtId="43" fontId="57" fillId="0" borderId="12" xfId="1" applyFont="1" applyFill="1" applyBorder="1" applyAlignment="1">
      <alignment horizontal="right" indent="2"/>
    </xf>
    <xf numFmtId="49" fontId="57" fillId="0" borderId="12" xfId="0" applyNumberFormat="1" applyFont="1" applyBorder="1" applyAlignment="1">
      <alignment horizontal="left" indent="3"/>
    </xf>
    <xf numFmtId="49" fontId="57" fillId="0" borderId="19" xfId="0" applyNumberFormat="1" applyFont="1" applyBorder="1" applyAlignment="1">
      <alignment horizontal="left" indent="3"/>
    </xf>
    <xf numFmtId="43" fontId="57" fillId="0" borderId="12" xfId="1" applyFont="1" applyFill="1" applyBorder="1" applyAlignment="1">
      <alignment horizontal="left" indent="3"/>
    </xf>
    <xf numFmtId="49" fontId="57" fillId="0" borderId="12" xfId="0" applyNumberFormat="1" applyFont="1" applyBorder="1" applyAlignment="1">
      <alignment horizontal="left" inden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164" fontId="18" fillId="5" borderId="14" xfId="6" applyFill="1" applyBorder="1" applyAlignment="1">
      <alignment horizontal="center"/>
    </xf>
    <xf numFmtId="164" fontId="18" fillId="5" borderId="4" xfId="6" applyFill="1" applyBorder="1" applyAlignment="1">
      <alignment horizontal="center"/>
    </xf>
    <xf numFmtId="164" fontId="18" fillId="5" borderId="13" xfId="6" applyFill="1" applyBorder="1" applyAlignment="1">
      <alignment horizontal="center"/>
    </xf>
    <xf numFmtId="164" fontId="18" fillId="5" borderId="18" xfId="6" applyFill="1" applyBorder="1" applyAlignment="1">
      <alignment horizontal="center"/>
    </xf>
    <xf numFmtId="164" fontId="18" fillId="5" borderId="16" xfId="6" applyFill="1" applyBorder="1" applyAlignment="1">
      <alignment horizontal="center"/>
    </xf>
    <xf numFmtId="164" fontId="18" fillId="5" borderId="17" xfId="6" applyFill="1" applyBorder="1" applyAlignment="1">
      <alignment horizont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3" borderId="6" xfId="0" applyFont="1" applyFill="1" applyBorder="1" applyAlignment="1">
      <alignment horizontal="center" wrapText="1"/>
    </xf>
    <xf numFmtId="0" fontId="17" fillId="3" borderId="7" xfId="0" applyFont="1" applyFill="1" applyBorder="1" applyAlignment="1">
      <alignment horizontal="center" wrapText="1"/>
    </xf>
    <xf numFmtId="0" fontId="17" fillId="3" borderId="8" xfId="0" applyFont="1" applyFill="1" applyBorder="1" applyAlignment="1">
      <alignment horizontal="center" wrapText="1"/>
    </xf>
    <xf numFmtId="164" fontId="18" fillId="5" borderId="3" xfId="6" applyFill="1" applyBorder="1" applyAlignment="1">
      <alignment horizontal="center"/>
    </xf>
    <xf numFmtId="164" fontId="18" fillId="5" borderId="15" xfId="6" applyFill="1" applyBorder="1" applyAlignment="1">
      <alignment horizontal="center"/>
    </xf>
    <xf numFmtId="164" fontId="18" fillId="5" borderId="23" xfId="6" applyFill="1" applyBorder="1" applyAlignment="1">
      <alignment horizontal="center"/>
    </xf>
    <xf numFmtId="164" fontId="18" fillId="5" borderId="21" xfId="6" applyFill="1" applyBorder="1" applyAlignment="1">
      <alignment horizontal="center"/>
    </xf>
    <xf numFmtId="164" fontId="18" fillId="5" borderId="22" xfId="6" applyFill="1" applyBorder="1" applyAlignment="1">
      <alignment horizontal="center"/>
    </xf>
    <xf numFmtId="166" fontId="4" fillId="0" borderId="20" xfId="1" applyNumberFormat="1" applyFont="1" applyBorder="1" applyAlignment="1">
      <alignment horizontal="center"/>
    </xf>
    <xf numFmtId="166" fontId="4" fillId="0" borderId="21" xfId="1" applyNumberFormat="1" applyFont="1" applyBorder="1" applyAlignment="1">
      <alignment horizontal="center"/>
    </xf>
    <xf numFmtId="166" fontId="4" fillId="0" borderId="30" xfId="1" applyNumberFormat="1" applyFont="1" applyBorder="1" applyAlignment="1">
      <alignment horizontal="center"/>
    </xf>
    <xf numFmtId="0" fontId="0" fillId="0" borderId="1" xfId="0" applyBorder="1" applyAlignment="1">
      <alignment horizontal="center" vertical="center"/>
    </xf>
    <xf numFmtId="0" fontId="22" fillId="0" borderId="2" xfId="0" applyFont="1" applyBorder="1" applyAlignment="1">
      <alignment horizontal="center" vertical="center"/>
    </xf>
    <xf numFmtId="0" fontId="22" fillId="0" borderId="29" xfId="0" applyFont="1" applyBorder="1" applyAlignment="1">
      <alignment horizontal="center" vertical="center"/>
    </xf>
    <xf numFmtId="166" fontId="14" fillId="0" borderId="10" xfId="1" applyNumberFormat="1" applyFont="1" applyBorder="1" applyAlignment="1">
      <alignment horizontal="center" vertical="center"/>
    </xf>
    <xf numFmtId="166" fontId="14" fillId="0" borderId="11" xfId="1" applyNumberFormat="1" applyFont="1" applyBorder="1" applyAlignment="1">
      <alignment horizontal="center" vertical="center"/>
    </xf>
    <xf numFmtId="166" fontId="0" fillId="0" borderId="20" xfId="1" applyNumberFormat="1" applyFont="1" applyBorder="1" applyAlignment="1">
      <alignment horizontal="center"/>
    </xf>
    <xf numFmtId="166" fontId="0" fillId="0" borderId="21" xfId="1" applyNumberFormat="1" applyFont="1" applyBorder="1" applyAlignment="1">
      <alignment horizontal="center"/>
    </xf>
    <xf numFmtId="166" fontId="0" fillId="0" borderId="30" xfId="1" applyNumberFormat="1" applyFont="1" applyBorder="1" applyAlignment="1">
      <alignment horizontal="center"/>
    </xf>
    <xf numFmtId="0" fontId="0" fillId="0" borderId="34" xfId="0" applyBorder="1" applyAlignment="1">
      <alignment horizontal="center" vertical="center"/>
    </xf>
    <xf numFmtId="0" fontId="0" fillId="0" borderId="35" xfId="0" applyBorder="1" applyAlignment="1">
      <alignment horizontal="center" vertical="center"/>
    </xf>
    <xf numFmtId="0" fontId="22" fillId="0" borderId="2" xfId="0" applyFont="1" applyBorder="1" applyAlignment="1">
      <alignment horizontal="center" vertical="center" wrapText="1"/>
    </xf>
    <xf numFmtId="0" fontId="22" fillId="0" borderId="29"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0" fillId="0" borderId="1" xfId="0" applyBorder="1" applyAlignment="1">
      <alignment horizontal="center" vertical="center" wrapText="1"/>
    </xf>
    <xf numFmtId="0" fontId="14" fillId="0" borderId="10" xfId="0" applyFont="1" applyBorder="1" applyAlignment="1">
      <alignment horizontal="center"/>
    </xf>
    <xf numFmtId="0" fontId="14" fillId="0" borderId="11" xfId="0" applyFont="1" applyBorder="1" applyAlignment="1">
      <alignment horizontal="center"/>
    </xf>
    <xf numFmtId="0" fontId="14" fillId="0" borderId="5" xfId="0" applyFont="1" applyBorder="1" applyAlignment="1">
      <alignment horizontal="center" wrapText="1"/>
    </xf>
    <xf numFmtId="0" fontId="39" fillId="0" borderId="1" xfId="0" applyFont="1" applyBorder="1" applyAlignment="1">
      <alignment wrapText="1"/>
    </xf>
    <xf numFmtId="0" fontId="4" fillId="0" borderId="19" xfId="0" applyFont="1" applyBorder="1"/>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33" fillId="7" borderId="47" xfId="0" applyFont="1" applyFill="1" applyBorder="1" applyAlignment="1">
      <alignment horizontal="center" vertical="center" wrapText="1"/>
    </xf>
    <xf numFmtId="0" fontId="33" fillId="7" borderId="48"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33" fillId="7" borderId="30" xfId="0" applyFont="1" applyFill="1" applyBorder="1" applyAlignment="1">
      <alignment horizontal="center" vertical="center" wrapText="1"/>
    </xf>
    <xf numFmtId="9" fontId="4" fillId="0" borderId="20" xfId="0" applyNumberFormat="1" applyFont="1" applyBorder="1" applyAlignment="1">
      <alignment horizontal="center" vertical="center"/>
    </xf>
    <xf numFmtId="9" fontId="4" fillId="0" borderId="30" xfId="0" applyNumberFormat="1" applyFont="1" applyBorder="1" applyAlignment="1">
      <alignment horizontal="center" vertical="center"/>
    </xf>
    <xf numFmtId="0" fontId="47" fillId="2" borderId="25" xfId="11" applyFont="1" applyFill="1" applyBorder="1" applyAlignment="1" applyProtection="1">
      <alignment horizontal="center" vertical="center" wrapText="1"/>
      <protection locked="0"/>
    </xf>
    <xf numFmtId="0" fontId="47" fillId="2" borderId="42" xfId="1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9" xfId="0" applyFont="1" applyBorder="1" applyAlignment="1">
      <alignment horizontal="center" vertical="center" wrapText="1"/>
    </xf>
    <xf numFmtId="166" fontId="15" fillId="2" borderId="9" xfId="15" applyNumberFormat="1" applyFont="1" applyFill="1" applyBorder="1" applyAlignment="1" applyProtection="1">
      <alignment horizontal="center"/>
      <protection locked="0"/>
    </xf>
    <xf numFmtId="166" fontId="15" fillId="2" borderId="10" xfId="15" applyNumberFormat="1" applyFont="1" applyFill="1" applyBorder="1" applyAlignment="1" applyProtection="1">
      <alignment horizontal="center"/>
      <protection locked="0"/>
    </xf>
    <xf numFmtId="166" fontId="15" fillId="2" borderId="11" xfId="15" applyNumberFormat="1" applyFont="1" applyFill="1" applyBorder="1" applyAlignment="1" applyProtection="1">
      <alignment horizontal="center"/>
      <protection locked="0"/>
    </xf>
    <xf numFmtId="166" fontId="15" fillId="0" borderId="66" xfId="15" applyNumberFormat="1" applyFont="1" applyFill="1" applyBorder="1" applyAlignment="1" applyProtection="1">
      <alignment horizontal="center" vertical="center" wrapText="1"/>
      <protection locked="0"/>
    </xf>
    <xf numFmtId="166" fontId="15" fillId="0" borderId="68" xfId="15" applyNumberFormat="1" applyFont="1" applyFill="1" applyBorder="1" applyAlignment="1" applyProtection="1">
      <alignment horizontal="center" vertical="center" wrapText="1"/>
      <protection locked="0"/>
    </xf>
    <xf numFmtId="0" fontId="33" fillId="0" borderId="67" xfId="0" applyFont="1" applyBorder="1" applyAlignment="1">
      <alignment horizontal="center" vertical="center" wrapText="1"/>
    </xf>
    <xf numFmtId="0" fontId="33" fillId="0" borderId="69" xfId="0" applyFont="1" applyBorder="1" applyAlignment="1">
      <alignment horizontal="center" vertical="center" wrapText="1"/>
    </xf>
    <xf numFmtId="0" fontId="4" fillId="0" borderId="20" xfId="0" applyFont="1" applyBorder="1" applyAlignment="1">
      <alignment horizontal="center" wrapText="1"/>
    </xf>
    <xf numFmtId="0" fontId="4" fillId="0" borderId="30" xfId="0" applyFont="1" applyBorder="1" applyAlignment="1">
      <alignment horizontal="center" wrapText="1"/>
    </xf>
    <xf numFmtId="0" fontId="4" fillId="0" borderId="25" xfId="0" applyFont="1" applyBorder="1" applyAlignment="1">
      <alignment horizontal="center" vertical="center" wrapText="1"/>
    </xf>
    <xf numFmtId="0" fontId="4" fillId="0" borderId="42" xfId="0" applyFont="1" applyBorder="1" applyAlignment="1">
      <alignment horizontal="center" vertical="center" wrapText="1"/>
    </xf>
    <xf numFmtId="0" fontId="49" fillId="0" borderId="63" xfId="0" applyFont="1" applyBorder="1" applyAlignment="1">
      <alignment horizontal="left" vertical="center"/>
    </xf>
    <xf numFmtId="0" fontId="49" fillId="0" borderId="64" xfId="0" applyFont="1" applyBorder="1" applyAlignment="1">
      <alignment horizontal="left" vertical="center"/>
    </xf>
    <xf numFmtId="0" fontId="4" fillId="0" borderId="64"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60" fillId="0" borderId="78" xfId="0" applyFont="1" applyBorder="1" applyAlignment="1">
      <alignment horizontal="left" vertical="center" wrapText="1"/>
    </xf>
    <xf numFmtId="0" fontId="60" fillId="0" borderId="79" xfId="0" applyFont="1" applyBorder="1" applyAlignment="1">
      <alignment horizontal="left" vertical="center" wrapText="1"/>
    </xf>
    <xf numFmtId="0" fontId="60" fillId="0" borderId="81" xfId="0" applyFont="1" applyBorder="1" applyAlignment="1">
      <alignment horizontal="left" vertical="center" wrapText="1"/>
    </xf>
    <xf numFmtId="0" fontId="60" fillId="0" borderId="82" xfId="0" applyFont="1" applyBorder="1" applyAlignment="1">
      <alignment horizontal="left" vertical="center" wrapText="1"/>
    </xf>
    <xf numFmtId="0" fontId="60" fillId="0" borderId="83" xfId="0" applyFont="1" applyBorder="1" applyAlignment="1">
      <alignment horizontal="left" vertical="center" wrapText="1"/>
    </xf>
    <xf numFmtId="0" fontId="60" fillId="0" borderId="84" xfId="0" applyFont="1" applyBorder="1" applyAlignment="1">
      <alignment horizontal="left"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80"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35" xfId="0" applyFont="1" applyBorder="1" applyAlignment="1">
      <alignment horizontal="center" vertical="center" wrapText="1"/>
    </xf>
    <xf numFmtId="0" fontId="58" fillId="0" borderId="0" xfId="0" applyFont="1" applyAlignment="1">
      <alignment horizontal="left" wrapText="1"/>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30" xfId="0" applyFont="1" applyBorder="1" applyAlignment="1">
      <alignment horizontal="center" vertical="center" wrapText="1"/>
    </xf>
    <xf numFmtId="0" fontId="67" fillId="0" borderId="1" xfId="0" applyFont="1" applyBorder="1" applyAlignment="1">
      <alignment horizontal="center" vertical="center"/>
    </xf>
    <xf numFmtId="0" fontId="59" fillId="0" borderId="3" xfId="0" applyFont="1" applyBorder="1" applyAlignment="1">
      <alignment horizontal="center" vertical="center"/>
    </xf>
    <xf numFmtId="0" fontId="59" fillId="0" borderId="80" xfId="0" applyFont="1" applyBorder="1" applyAlignment="1">
      <alignment horizontal="center" vertical="center"/>
    </xf>
    <xf numFmtId="0" fontId="59" fillId="0" borderId="15" xfId="0" applyFont="1" applyBorder="1" applyAlignment="1">
      <alignment horizontal="center" vertical="center"/>
    </xf>
    <xf numFmtId="0" fontId="59" fillId="0" borderId="35"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0" xfId="0" applyFont="1" applyBorder="1" applyAlignment="1">
      <alignment horizontal="center" vertical="center" wrapText="1"/>
    </xf>
    <xf numFmtId="0" fontId="60" fillId="0" borderId="85"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35" xfId="0" applyFont="1" applyBorder="1" applyAlignment="1">
      <alignment horizontal="center" vertical="center" wrapText="1"/>
    </xf>
    <xf numFmtId="0" fontId="57" fillId="0" borderId="21" xfId="0" applyFont="1" applyBorder="1" applyAlignment="1">
      <alignment horizontal="center" vertical="center" wrapText="1"/>
    </xf>
    <xf numFmtId="0" fontId="60" fillId="0" borderId="37" xfId="0" applyFont="1" applyBorder="1" applyAlignment="1">
      <alignment horizontal="center" vertical="center" wrapText="1"/>
    </xf>
    <xf numFmtId="0" fontId="60" fillId="0" borderId="29"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35" xfId="0" applyFont="1" applyBorder="1" applyAlignment="1">
      <alignment horizontal="center" vertical="center" wrapText="1"/>
    </xf>
    <xf numFmtId="0" fontId="60" fillId="0" borderId="63" xfId="0" applyFont="1" applyBorder="1" applyAlignment="1">
      <alignment horizontal="left" vertical="top" wrapText="1"/>
    </xf>
    <xf numFmtId="0" fontId="60" fillId="0" borderId="71" xfId="0" applyFont="1" applyBorder="1" applyAlignment="1">
      <alignment horizontal="left" vertical="top" wrapText="1"/>
    </xf>
    <xf numFmtId="0" fontId="60" fillId="0" borderId="65" xfId="0" applyFont="1" applyBorder="1" applyAlignment="1">
      <alignment horizontal="left" vertical="top" wrapText="1"/>
    </xf>
    <xf numFmtId="0" fontId="60" fillId="0" borderId="77" xfId="0" applyFont="1" applyBorder="1" applyAlignment="1">
      <alignment horizontal="left" vertical="top" wrapText="1"/>
    </xf>
    <xf numFmtId="0" fontId="60" fillId="0" borderId="18" xfId="0" applyFont="1" applyBorder="1" applyAlignment="1">
      <alignment horizontal="left" vertical="top" wrapText="1"/>
    </xf>
    <xf numFmtId="0" fontId="60" fillId="0" borderId="17" xfId="0" applyFont="1" applyBorder="1" applyAlignment="1">
      <alignment horizontal="left" vertical="top" wrapText="1"/>
    </xf>
    <xf numFmtId="0" fontId="57" fillId="0" borderId="63" xfId="0" applyFont="1" applyBorder="1" applyAlignment="1">
      <alignment horizontal="center" vertical="center" wrapText="1"/>
    </xf>
    <xf numFmtId="0" fontId="57" fillId="0" borderId="64" xfId="0" applyFont="1" applyBorder="1" applyAlignment="1">
      <alignment horizontal="center" vertical="center" wrapText="1"/>
    </xf>
    <xf numFmtId="0" fontId="57" fillId="0" borderId="71" xfId="0" applyFont="1" applyBorder="1" applyAlignment="1">
      <alignment horizontal="center" vertical="center" wrapText="1"/>
    </xf>
    <xf numFmtId="0" fontId="60" fillId="0" borderId="86" xfId="0" applyFont="1" applyBorder="1" applyAlignment="1">
      <alignment horizontal="center" vertical="center" wrapText="1"/>
    </xf>
    <xf numFmtId="0" fontId="60" fillId="0" borderId="38"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3" xfId="0" applyFont="1" applyBorder="1" applyAlignment="1">
      <alignment horizontal="center" vertical="top" wrapText="1"/>
    </xf>
    <xf numFmtId="0" fontId="57" fillId="0" borderId="4" xfId="0" applyFont="1" applyBorder="1" applyAlignment="1">
      <alignment horizontal="center" vertical="top" wrapText="1"/>
    </xf>
    <xf numFmtId="0" fontId="57" fillId="0" borderId="21" xfId="0" applyFont="1" applyBorder="1" applyAlignment="1">
      <alignment horizontal="center" vertical="top" wrapText="1"/>
    </xf>
    <xf numFmtId="0" fontId="57" fillId="0" borderId="30" xfId="0" applyFont="1" applyBorder="1" applyAlignment="1">
      <alignment horizontal="center" vertical="top" wrapText="1"/>
    </xf>
    <xf numFmtId="0" fontId="70" fillId="0" borderId="87" xfId="0" applyFont="1" applyBorder="1" applyAlignment="1">
      <alignment horizontal="left" vertical="top" wrapText="1"/>
    </xf>
    <xf numFmtId="0" fontId="70" fillId="0" borderId="88" xfId="0" applyFont="1" applyBorder="1" applyAlignment="1">
      <alignment horizontal="left" vertical="top" wrapText="1"/>
    </xf>
    <xf numFmtId="0" fontId="62" fillId="0" borderId="1" xfId="0" applyFont="1" applyBorder="1" applyAlignment="1">
      <alignment horizontal="center" vertical="center" wrapText="1"/>
    </xf>
    <xf numFmtId="0" fontId="65" fillId="0" borderId="1" xfId="0" applyFont="1" applyBorder="1" applyAlignment="1">
      <alignment horizontal="center" vertical="center"/>
    </xf>
    <xf numFmtId="0" fontId="62" fillId="0" borderId="2" xfId="0" applyFont="1" applyBorder="1" applyAlignment="1">
      <alignment horizontal="center" vertical="center" wrapText="1"/>
    </xf>
    <xf numFmtId="0" fontId="70" fillId="0" borderId="111" xfId="0" applyFont="1" applyBorder="1" applyAlignment="1">
      <alignment horizontal="center" vertical="center"/>
    </xf>
    <xf numFmtId="0" fontId="70" fillId="0" borderId="110" xfId="0" applyFont="1" applyBorder="1" applyAlignment="1">
      <alignment horizontal="center" vertical="center"/>
    </xf>
    <xf numFmtId="0" fontId="70" fillId="0" borderId="109" xfId="0" applyFont="1" applyBorder="1" applyAlignment="1">
      <alignment horizontal="center" vertical="center"/>
    </xf>
    <xf numFmtId="0" fontId="72" fillId="0" borderId="1" xfId="0" applyFont="1" applyBorder="1" applyAlignment="1">
      <alignment horizontal="left" vertical="center" wrapText="1"/>
    </xf>
    <xf numFmtId="0" fontId="70" fillId="15" borderId="105" xfId="0" applyFont="1" applyFill="1" applyBorder="1" applyAlignment="1">
      <alignment horizontal="center" vertical="center" wrapText="1"/>
    </xf>
    <xf numFmtId="0" fontId="70" fillId="15" borderId="104" xfId="0" applyFont="1" applyFill="1" applyBorder="1" applyAlignment="1">
      <alignment horizontal="center" vertical="center" wrapText="1"/>
    </xf>
    <xf numFmtId="0" fontId="70" fillId="15" borderId="103" xfId="0" applyFont="1" applyFill="1" applyBorder="1" applyAlignment="1">
      <alignment horizontal="center" vertical="center" wrapText="1"/>
    </xf>
    <xf numFmtId="0" fontId="72" fillId="0" borderId="15" xfId="0" applyFont="1" applyBorder="1" applyAlignment="1">
      <alignment horizontal="left" vertical="center" wrapText="1"/>
    </xf>
    <xf numFmtId="0" fontId="72" fillId="0" borderId="35" xfId="0" applyFont="1" applyBorder="1" applyAlignment="1">
      <alignment horizontal="left" vertical="center" wrapText="1"/>
    </xf>
    <xf numFmtId="0" fontId="72" fillId="0" borderId="20" xfId="0" applyFont="1" applyBorder="1" applyAlignment="1">
      <alignment horizontal="left" vertical="center" wrapText="1"/>
    </xf>
    <xf numFmtId="0" fontId="72" fillId="0" borderId="30" xfId="0" applyFont="1" applyBorder="1" applyAlignment="1">
      <alignment horizontal="left" vertical="center" wrapText="1"/>
    </xf>
    <xf numFmtId="0" fontId="72" fillId="2" borderId="20" xfId="0" applyFont="1" applyFill="1" applyBorder="1" applyAlignment="1">
      <alignment vertical="center" wrapText="1"/>
    </xf>
    <xf numFmtId="0" fontId="72" fillId="2" borderId="30" xfId="0" applyFont="1" applyFill="1" applyBorder="1" applyAlignment="1">
      <alignment vertical="center" wrapText="1"/>
    </xf>
    <xf numFmtId="0" fontId="72" fillId="0" borderId="20" xfId="0" applyFont="1" applyBorder="1" applyAlignment="1">
      <alignment horizontal="left"/>
    </xf>
    <xf numFmtId="0" fontId="72" fillId="0" borderId="30" xfId="0" applyFont="1" applyBorder="1" applyAlignment="1">
      <alignment horizontal="left"/>
    </xf>
    <xf numFmtId="0" fontId="72" fillId="2" borderId="101" xfId="0" applyFont="1" applyFill="1" applyBorder="1" applyAlignment="1">
      <alignment horizontal="left" vertical="center" wrapText="1"/>
    </xf>
    <xf numFmtId="0" fontId="72" fillId="2" borderId="100" xfId="0" applyFont="1" applyFill="1" applyBorder="1" applyAlignment="1">
      <alignment horizontal="left" vertical="center" wrapText="1"/>
    </xf>
    <xf numFmtId="0" fontId="72" fillId="0" borderId="107" xfId="0" applyFont="1" applyBorder="1" applyAlignment="1">
      <alignment horizontal="left" vertical="center" wrapText="1"/>
    </xf>
    <xf numFmtId="0" fontId="72" fillId="0" borderId="106" xfId="0" applyFont="1" applyBorder="1" applyAlignment="1">
      <alignment horizontal="left" vertical="center" wrapText="1"/>
    </xf>
    <xf numFmtId="0" fontId="72" fillId="0" borderId="15" xfId="0" applyFont="1" applyBorder="1" applyAlignment="1">
      <alignment vertical="center" wrapText="1"/>
    </xf>
    <xf numFmtId="0" fontId="72" fillId="0" borderId="35" xfId="0" applyFont="1" applyBorder="1" applyAlignment="1">
      <alignment vertical="center" wrapText="1"/>
    </xf>
    <xf numFmtId="0" fontId="72" fillId="0" borderId="20" xfId="0" applyFont="1" applyBorder="1" applyAlignment="1">
      <alignment vertical="center" wrapText="1"/>
    </xf>
    <xf numFmtId="0" fontId="72" fillId="0" borderId="30" xfId="0" applyFont="1" applyBorder="1" applyAlignment="1">
      <alignment vertical="center" wrapText="1"/>
    </xf>
    <xf numFmtId="0" fontId="72" fillId="0" borderId="21" xfId="0" applyFont="1" applyBorder="1" applyAlignment="1">
      <alignment horizontal="left" vertical="center" wrapText="1"/>
    </xf>
    <xf numFmtId="0" fontId="72" fillId="0" borderId="101" xfId="0" applyFont="1" applyBorder="1" applyAlignment="1">
      <alignment horizontal="left" vertical="center" wrapText="1"/>
    </xf>
    <xf numFmtId="0" fontId="72" fillId="0" borderId="100" xfId="0" applyFont="1" applyBorder="1" applyAlignment="1">
      <alignment horizontal="left" vertical="center" wrapText="1"/>
    </xf>
    <xf numFmtId="0" fontId="70" fillId="15" borderId="93" xfId="0" applyFont="1" applyFill="1" applyBorder="1" applyAlignment="1">
      <alignment horizontal="center" vertical="center" wrapText="1"/>
    </xf>
    <xf numFmtId="0" fontId="70" fillId="15" borderId="0" xfId="0" applyFont="1" applyFill="1" applyAlignment="1">
      <alignment horizontal="center" vertical="center" wrapText="1"/>
    </xf>
    <xf numFmtId="0" fontId="70" fillId="15" borderId="92" xfId="0" applyFont="1" applyFill="1" applyBorder="1" applyAlignment="1">
      <alignment horizontal="center" vertical="center" wrapText="1"/>
    </xf>
    <xf numFmtId="0" fontId="72" fillId="2" borderId="20" xfId="0" applyFont="1" applyFill="1" applyBorder="1" applyAlignment="1">
      <alignment horizontal="left" vertical="center" wrapText="1"/>
    </xf>
    <xf numFmtId="0" fontId="72" fillId="2" borderId="30" xfId="0" applyFont="1" applyFill="1" applyBorder="1" applyAlignment="1">
      <alignment horizontal="left" vertical="center" wrapText="1"/>
    </xf>
    <xf numFmtId="0" fontId="72" fillId="0" borderId="20" xfId="11" applyFont="1" applyBorder="1" applyAlignment="1" applyProtection="1">
      <alignment horizontal="left" vertical="top" wrapText="1"/>
      <protection locked="0"/>
    </xf>
    <xf numFmtId="0" fontId="72" fillId="0" borderId="30" xfId="11" applyFont="1" applyBorder="1" applyAlignment="1" applyProtection="1">
      <alignment horizontal="left" vertical="top" wrapText="1"/>
      <protection locked="0"/>
    </xf>
    <xf numFmtId="0" fontId="72" fillId="2" borderId="20" xfId="11" applyFont="1" applyFill="1" applyBorder="1" applyAlignment="1" applyProtection="1">
      <alignment horizontal="left" vertical="top" wrapText="1"/>
      <protection locked="0"/>
    </xf>
    <xf numFmtId="0" fontId="72" fillId="2" borderId="30" xfId="11" applyFont="1" applyFill="1" applyBorder="1" applyAlignment="1" applyProtection="1">
      <alignment horizontal="left" vertical="top" wrapText="1"/>
      <protection locked="0"/>
    </xf>
    <xf numFmtId="0" fontId="70" fillId="15" borderId="99" xfId="0" applyFont="1" applyFill="1" applyBorder="1" applyAlignment="1">
      <alignment horizontal="center" vertical="center"/>
    </xf>
    <xf numFmtId="0" fontId="70" fillId="15" borderId="98" xfId="0" applyFont="1" applyFill="1" applyBorder="1" applyAlignment="1">
      <alignment horizontal="center" vertical="center"/>
    </xf>
    <xf numFmtId="0" fontId="70" fillId="15" borderId="97" xfId="0" applyFont="1" applyFill="1" applyBorder="1" applyAlignment="1">
      <alignment horizontal="center" vertical="center"/>
    </xf>
    <xf numFmtId="0" fontId="70" fillId="0" borderId="96" xfId="0" applyFont="1" applyBorder="1" applyAlignment="1">
      <alignment horizontal="center" vertical="center"/>
    </xf>
    <xf numFmtId="0" fontId="70" fillId="15" borderId="1" xfId="0" applyFont="1" applyFill="1" applyBorder="1" applyAlignment="1">
      <alignment horizontal="center" vertical="center" wrapText="1"/>
    </xf>
    <xf numFmtId="0" fontId="70" fillId="0" borderId="1" xfId="0" applyFont="1" applyBorder="1" applyAlignment="1">
      <alignment horizontal="center" vertical="center"/>
    </xf>
    <xf numFmtId="0" fontId="70" fillId="15" borderId="20" xfId="0" applyFont="1" applyFill="1" applyBorder="1" applyAlignment="1">
      <alignment horizontal="center" vertical="center" wrapText="1"/>
    </xf>
    <xf numFmtId="0" fontId="70" fillId="15" borderId="30" xfId="0" applyFont="1" applyFill="1" applyBorder="1" applyAlignment="1">
      <alignment horizontal="center" vertical="center" wrapText="1"/>
    </xf>
    <xf numFmtId="49" fontId="72" fillId="0" borderId="0" xfId="0" applyNumberFormat="1" applyFont="1" applyAlignment="1">
      <alignment horizontal="center" vertical="center"/>
    </xf>
    <xf numFmtId="0" fontId="72" fillId="0" borderId="1" xfId="0" applyFont="1" applyBorder="1" applyAlignment="1">
      <alignment horizontal="left" vertical="top" wrapText="1"/>
    </xf>
    <xf numFmtId="0" fontId="72" fillId="0" borderId="20" xfId="0" applyFont="1" applyBorder="1" applyAlignment="1">
      <alignment horizontal="left" vertical="top" wrapText="1"/>
    </xf>
    <xf numFmtId="0" fontId="72" fillId="0" borderId="30" xfId="0" applyFont="1" applyBorder="1" applyAlignment="1">
      <alignment horizontal="left" vertical="top" wrapText="1"/>
    </xf>
    <xf numFmtId="0" fontId="72" fillId="0" borderId="1" xfId="0" applyFont="1" applyBorder="1" applyAlignment="1">
      <alignment horizontal="center"/>
    </xf>
  </cellXfs>
  <cellStyles count="23">
    <cellStyle name="=C:\WINNT35\SYSTEM32\COMMAND.COM" xfId="17" xr:uid="{DF5148B7-7149-4855-A96D-ECEB7615B366}"/>
    <cellStyle name="1Normal 2" xfId="6" xr:uid="{2796397C-62E1-4660-884E-C5C268256032}"/>
    <cellStyle name="Comma" xfId="1" builtinId="3"/>
    <cellStyle name="Comma 10" xfId="18" xr:uid="{1CCABBC2-7B60-4AE4-BBF0-56787C31FB35}"/>
    <cellStyle name="Comma 10 12" xfId="19" xr:uid="{A28910C9-D46E-4AB8-BC65-01824BD9DC2B}"/>
    <cellStyle name="Comma 111" xfId="21" xr:uid="{84460369-D8E4-4DDD-9E67-18F6B346F92E}"/>
    <cellStyle name="Comma 2" xfId="15" xr:uid="{194A30C3-83A5-4D82-8825-10FA77ED4B4F}"/>
    <cellStyle name="Comma 3" xfId="10" xr:uid="{8768ECFB-DC45-4B3E-B0C6-6370AD8AEF1E}"/>
    <cellStyle name="Hyperlink" xfId="3" builtinId="8"/>
    <cellStyle name="Normal" xfId="0" builtinId="0"/>
    <cellStyle name="Normal 10 2" xfId="20" xr:uid="{D44C3770-3F05-479B-88F9-469A2E31758E}"/>
    <cellStyle name="Normal 121 2" xfId="12" xr:uid="{05A7DEE4-33C2-46F0-8655-8D330544C5A3}"/>
    <cellStyle name="Normal 122" xfId="4" xr:uid="{5EFBAA40-D599-4286-8DB4-B148AED7753D}"/>
    <cellStyle name="Normal 123" xfId="7" xr:uid="{BF72406D-63ED-4513-8984-000020497E1D}"/>
    <cellStyle name="Normal 2" xfId="5" xr:uid="{1B4E628A-9164-4032-A791-967240B71C11}"/>
    <cellStyle name="Normal 2 2" xfId="13" xr:uid="{CD6DC0D6-4CB3-425C-B74C-A06A14D2EF51}"/>
    <cellStyle name="Normal 3 10 2 2" xfId="22" xr:uid="{736FA0D8-434B-4C3A-A0A5-6C17AE15BF6F}"/>
    <cellStyle name="Normal 4" xfId="11" xr:uid="{FC7C68DD-5070-44A9-8A8E-34A31915F024}"/>
    <cellStyle name="Normal_Capital &amp; RWA N" xfId="8" xr:uid="{A68D5D46-8F25-4AC0-85F0-E352758F1F29}"/>
    <cellStyle name="Normal_Capital &amp; RWA N 2" xfId="14" xr:uid="{C1EFD677-7C16-460F-8AD2-2AF6AA8C5A2C}"/>
    <cellStyle name="Normal_Casestdy draft" xfId="16" xr:uid="{59C2C525-F738-4A6E-B62E-1AD943F4B813}"/>
    <cellStyle name="Normal_Casestdy draft 2" xfId="9" xr:uid="{3F07FF78-2817-449B-910B-4807CA50C880}"/>
    <cellStyle name="Percent" xfId="2" builtinId="5"/>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2" name="Straight Connector 1">
          <a:extLst>
            <a:ext uri="{FF2B5EF4-FFF2-40B4-BE49-F238E27FC236}">
              <a16:creationId xmlns:a16="http://schemas.microsoft.com/office/drawing/2014/main" id="{91F8B7E9-ACEB-4ED5-A7E6-302FE6CDF7BA}"/>
            </a:ext>
          </a:extLst>
        </xdr:cNvPr>
        <xdr:cNvCxnSpPr/>
      </xdr:nvCxnSpPr>
      <xdr:spPr>
        <a:xfrm>
          <a:off x="708660" y="1158240"/>
          <a:ext cx="6324600" cy="754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k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65A4-5344-4433-830F-CB21C45E9B13}">
  <dimension ref="A1:C35"/>
  <sheetViews>
    <sheetView zoomScaleNormal="85" workbookViewId="0">
      <pane xSplit="1" ySplit="7" topLeftCell="B13" activePane="bottomRight" state="frozen"/>
      <selection activeCell="G50" sqref="G50"/>
      <selection pane="topRight" activeCell="G50" sqref="G50"/>
      <selection pane="bottomLeft" activeCell="G50" sqref="G50"/>
      <selection pane="bottomRight" activeCell="G50" sqref="G50"/>
    </sheetView>
  </sheetViews>
  <sheetFormatPr defaultRowHeight="14.4" x14ac:dyDescent="0.3"/>
  <cols>
    <col min="1" max="1" width="10.33203125" style="20" customWidth="1"/>
    <col min="2" max="2" width="153" bestFit="1" customWidth="1"/>
    <col min="3" max="3" width="39.44140625" customWidth="1"/>
    <col min="7" max="7" width="62.109375" customWidth="1"/>
  </cols>
  <sheetData>
    <row r="1" spans="1:3" x14ac:dyDescent="0.3">
      <c r="A1" s="1"/>
      <c r="B1" s="2" t="s">
        <v>0</v>
      </c>
      <c r="C1" s="3"/>
    </row>
    <row r="2" spans="1:3" s="7" customFormat="1" x14ac:dyDescent="0.3">
      <c r="A2" s="4">
        <v>1</v>
      </c>
      <c r="B2" s="5" t="s">
        <v>1</v>
      </c>
      <c r="C2" s="6" t="s">
        <v>2</v>
      </c>
    </row>
    <row r="3" spans="1:3" s="7" customFormat="1" x14ac:dyDescent="0.3">
      <c r="A3" s="4">
        <v>2</v>
      </c>
      <c r="B3" s="8" t="s">
        <v>3</v>
      </c>
      <c r="C3" s="6" t="s">
        <v>4</v>
      </c>
    </row>
    <row r="4" spans="1:3" s="7" customFormat="1" ht="40.5" customHeight="1" x14ac:dyDescent="0.3">
      <c r="A4" s="4">
        <v>3</v>
      </c>
      <c r="B4" s="8" t="s">
        <v>5</v>
      </c>
      <c r="C4" s="6" t="s">
        <v>6</v>
      </c>
    </row>
    <row r="5" spans="1:3" s="7" customFormat="1" x14ac:dyDescent="0.3">
      <c r="A5" s="9">
        <v>4</v>
      </c>
      <c r="B5" s="10" t="s">
        <v>7</v>
      </c>
      <c r="C5" s="11" t="s">
        <v>8</v>
      </c>
    </row>
    <row r="6" spans="1:3" s="12" customFormat="1" ht="65.25" customHeight="1" x14ac:dyDescent="0.3">
      <c r="A6" s="799" t="s">
        <v>9</v>
      </c>
      <c r="B6" s="800"/>
      <c r="C6" s="800"/>
    </row>
    <row r="7" spans="1:3" x14ac:dyDescent="0.3">
      <c r="A7" s="13" t="s">
        <v>10</v>
      </c>
      <c r="B7" s="2" t="s">
        <v>11</v>
      </c>
    </row>
    <row r="8" spans="1:3" x14ac:dyDescent="0.3">
      <c r="A8" s="1">
        <v>1</v>
      </c>
      <c r="B8" s="14" t="s">
        <v>12</v>
      </c>
    </row>
    <row r="9" spans="1:3" x14ac:dyDescent="0.3">
      <c r="A9" s="1">
        <v>2</v>
      </c>
      <c r="B9" s="14" t="s">
        <v>13</v>
      </c>
    </row>
    <row r="10" spans="1:3" x14ac:dyDescent="0.3">
      <c r="A10" s="1">
        <v>3</v>
      </c>
      <c r="B10" s="14" t="s">
        <v>14</v>
      </c>
    </row>
    <row r="11" spans="1:3" x14ac:dyDescent="0.3">
      <c r="A11" s="1">
        <v>4</v>
      </c>
      <c r="B11" s="14" t="s">
        <v>15</v>
      </c>
    </row>
    <row r="12" spans="1:3" x14ac:dyDescent="0.3">
      <c r="A12" s="1">
        <v>5</v>
      </c>
      <c r="B12" s="14" t="s">
        <v>16</v>
      </c>
    </row>
    <row r="13" spans="1:3" x14ac:dyDescent="0.3">
      <c r="A13" s="1">
        <v>6</v>
      </c>
      <c r="B13" s="15" t="s">
        <v>17</v>
      </c>
    </row>
    <row r="14" spans="1:3" x14ac:dyDescent="0.3">
      <c r="A14" s="1">
        <v>7</v>
      </c>
      <c r="B14" s="14" t="s">
        <v>18</v>
      </c>
    </row>
    <row r="15" spans="1:3" x14ac:dyDescent="0.3">
      <c r="A15" s="1">
        <v>8</v>
      </c>
      <c r="B15" s="14" t="s">
        <v>19</v>
      </c>
    </row>
    <row r="16" spans="1:3" x14ac:dyDescent="0.3">
      <c r="A16" s="1">
        <v>9</v>
      </c>
      <c r="B16" s="14" t="s">
        <v>20</v>
      </c>
    </row>
    <row r="17" spans="1:2" x14ac:dyDescent="0.3">
      <c r="A17" s="16" t="s">
        <v>21</v>
      </c>
      <c r="B17" s="14" t="s">
        <v>22</v>
      </c>
    </row>
    <row r="18" spans="1:2" x14ac:dyDescent="0.3">
      <c r="A18" s="1">
        <v>10</v>
      </c>
      <c r="B18" s="14" t="s">
        <v>23</v>
      </c>
    </row>
    <row r="19" spans="1:2" x14ac:dyDescent="0.3">
      <c r="A19" s="1">
        <v>11</v>
      </c>
      <c r="B19" s="15" t="s">
        <v>24</v>
      </c>
    </row>
    <row r="20" spans="1:2" x14ac:dyDescent="0.3">
      <c r="A20" s="1">
        <v>12</v>
      </c>
      <c r="B20" s="15" t="s">
        <v>25</v>
      </c>
    </row>
    <row r="21" spans="1:2" x14ac:dyDescent="0.3">
      <c r="A21" s="1">
        <v>13</v>
      </c>
      <c r="B21" s="17" t="s">
        <v>26</v>
      </c>
    </row>
    <row r="22" spans="1:2" x14ac:dyDescent="0.3">
      <c r="A22" s="1">
        <v>14</v>
      </c>
      <c r="B22" s="18" t="s">
        <v>27</v>
      </c>
    </row>
    <row r="23" spans="1:2" x14ac:dyDescent="0.3">
      <c r="A23" s="1">
        <v>15</v>
      </c>
      <c r="B23" s="14" t="s">
        <v>28</v>
      </c>
    </row>
    <row r="24" spans="1:2" x14ac:dyDescent="0.3">
      <c r="A24" s="1">
        <v>15.1</v>
      </c>
      <c r="B24" s="14" t="s">
        <v>29</v>
      </c>
    </row>
    <row r="25" spans="1:2" x14ac:dyDescent="0.3">
      <c r="A25" s="1">
        <v>16</v>
      </c>
      <c r="B25" s="14" t="s">
        <v>30</v>
      </c>
    </row>
    <row r="26" spans="1:2" x14ac:dyDescent="0.3">
      <c r="A26" s="1">
        <v>17</v>
      </c>
      <c r="B26" s="14" t="s">
        <v>31</v>
      </c>
    </row>
    <row r="27" spans="1:2" x14ac:dyDescent="0.3">
      <c r="A27" s="1">
        <v>18</v>
      </c>
      <c r="B27" s="14" t="s">
        <v>32</v>
      </c>
    </row>
    <row r="28" spans="1:2" x14ac:dyDescent="0.3">
      <c r="A28" s="1">
        <v>19</v>
      </c>
      <c r="B28" s="14" t="s">
        <v>33</v>
      </c>
    </row>
    <row r="29" spans="1:2" x14ac:dyDescent="0.3">
      <c r="A29" s="1">
        <v>20</v>
      </c>
      <c r="B29" s="14" t="s">
        <v>34</v>
      </c>
    </row>
    <row r="30" spans="1:2" x14ac:dyDescent="0.3">
      <c r="A30" s="1">
        <v>21</v>
      </c>
      <c r="B30" s="14" t="s">
        <v>35</v>
      </c>
    </row>
    <row r="31" spans="1:2" x14ac:dyDescent="0.3">
      <c r="A31" s="1">
        <v>22</v>
      </c>
      <c r="B31" s="14" t="s">
        <v>36</v>
      </c>
    </row>
    <row r="32" spans="1:2" ht="26.4" x14ac:dyDescent="0.3">
      <c r="A32" s="1">
        <v>23</v>
      </c>
      <c r="B32" s="19" t="s">
        <v>37</v>
      </c>
    </row>
    <row r="33" spans="1:2" x14ac:dyDescent="0.3">
      <c r="A33" s="1">
        <v>24</v>
      </c>
      <c r="B33" s="14" t="s">
        <v>38</v>
      </c>
    </row>
    <row r="34" spans="1:2" x14ac:dyDescent="0.3">
      <c r="A34" s="1">
        <v>25</v>
      </c>
      <c r="B34" s="14" t="s">
        <v>39</v>
      </c>
    </row>
    <row r="35" spans="1:2" x14ac:dyDescent="0.3">
      <c r="A35" s="1">
        <v>26</v>
      </c>
      <c r="B35" s="14" t="s">
        <v>40</v>
      </c>
    </row>
  </sheetData>
  <mergeCells count="1">
    <mergeCell ref="A6:C6"/>
  </mergeCells>
  <hyperlinks>
    <hyperlink ref="B8" location="'1. key ratios'!A1" display="ცხრილი 1: ძირითადი მაჩვენებლები" xr:uid="{513DFA05-46D2-43E4-9D9F-4DFDF093F82A}"/>
    <hyperlink ref="B9" location="'2. SOFP'!A1" display="საბალანსო უწყისი" xr:uid="{7A1FA8BA-E4D9-428C-9F7C-83877E598B9A}"/>
    <hyperlink ref="B10" location="'3. SOPL'!A1" display="მოგება-ზარალის ანგარიშგება" xr:uid="{8346DE5B-1AD6-45B7-A0F4-AAC917C58515}"/>
    <hyperlink ref="B11" location="'4. Off-Balance'!A1" display="ბალანსგარეშე ანგარიშების უწყისი " xr:uid="{C82ABB60-35A9-4049-9264-97BAEE87D9B8}"/>
    <hyperlink ref="B12" location="'5. RWA'!A1" display="ცხრილი 5: რისკის მიხედვით შეწონილი რისკის პოზიციები" xr:uid="{FD0412B6-7218-4F3B-B58C-DA6BFE69765B}"/>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7AC51F9C-E68F-4EE3-9368-3AD5A252F576}"/>
    <hyperlink ref="B13" location="'6. Administrators-shareholders'!A1" display="ინფორმაცია ბანკის სამეთვალყურეო საბჭოს, დირექტორატის და აქციონერთა შესახებ" xr:uid="{31A5066B-2224-4631-9CA1-62CAE46F8511}"/>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5ABD9CB6-E37B-4C86-AEDC-A1D757137692}"/>
    <hyperlink ref="B16" location="'9. Capital'!A1" display="ცხრილი 9: საზედამხედველო კაპიტალი" xr:uid="{45FD58D8-82A5-4C65-9CB5-6EA54394EDF7}"/>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54BA3EE-3C37-4BD7-A6F4-E38B0864828D}"/>
    <hyperlink ref="B20" location="'12. CRM'!A1" display="საკრედიტო რისკის მიტიგაცია" xr:uid="{04B72016-DC4F-4955-8911-5EBEFE2847D0}"/>
    <hyperlink ref="B19" location="'11. CRWA'!A1" display="საკრედიტო რისკის მიხედვით შეწონილი რისკის პოზიციები" xr:uid="{8E6F5CE3-A3F4-42F9-BE19-A3968B5F11DB}"/>
    <hyperlink ref="B21" location="'13. CRME'!A1" display="სტანდარტიზებული მიდგომა - საკრედიტო რისკი საკრედიტო რისკის მიტიგაციის ეფექტი" xr:uid="{29752AE1-4ECB-4427-900D-79C5FB636C85}"/>
    <hyperlink ref="B23" location="'15. CCR'!A1" display="კონტრაგენტთან დაკავშირებული საკრედიტო რისკის მიხედვით შეწონილი რისკის პოზიციები" xr:uid="{CB0B8426-147E-4667-B929-68F0F580460E}"/>
    <hyperlink ref="B22" location="'14. LCR'!A1" display="ლიკვიდობის გადაფარვის კოეფიციენტი" xr:uid="{AC2A3442-1286-47A7-A8FA-E10241561139}"/>
    <hyperlink ref="B17" location="'9.1. Capital Requirements'!A1" display="კაპიტალის ადეკვატურობის მოთხოვნები" xr:uid="{A2EE413E-433C-45DB-AA5E-256DB85D152C}"/>
    <hyperlink ref="B24" location="'15.1. LR'!A1" display="ლევერიჯის კოეფიციენტი" xr:uid="{314937D5-CBAB-4CB3-9749-740ED94F8D8A}"/>
    <hyperlink ref="B25" location="'16. NSFR'!A1" display="წმინდა სტაბილური დაფინანსების კოეფიციენტი" xr:uid="{4797004B-D387-4A45-8162-68B9A6E845B2}"/>
    <hyperlink ref="B26" location="' 17. Residual Maturity'!A1" display="რისკის პოზიციის ღირებულება ნარჩენი ვადიანობის  და რისკის კლასების მიხედვით" xr:uid="{B41C0C9E-0EEB-483C-BBED-671FC30F5A91}"/>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633F8879-3605-471F-9AF8-46B948DA0831}"/>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A6A1A621-E1FD-450E-9DED-9CC085C64B73}"/>
    <hyperlink ref="B30" location="'21. NPL'!A1" display="უმოქმედო სესხების ცვლილება" xr:uid="{4CF010EF-1CCB-4769-A5AF-DDF8347E52A7}"/>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CA48414F-758E-44B0-B8AD-CC0838E70EFD}"/>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58359333-6600-4098-8DC0-FA1AD30F0469}"/>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C075145C-B250-4D07-B14B-4D9D996F93ED}"/>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4FE7ED26-D9D6-45BC-A475-B59330C57775}"/>
    <hyperlink ref="B29" location="'20. Reserves'!A1" display="რეზერვის ცვლილება სესხებზე და კორპორატიულ სავალო ფასიანი ქაღალდებზე" xr:uid="{8B15167D-11F2-4334-A30D-C79E8C3AD58B}"/>
    <hyperlink ref="B35" location="'26. Retail Products'!A1" display="ზოგადი ინფორმაცია საცალო პროდუქტებზე" xr:uid="{1C1D455A-8A0D-44F4-88BC-EAE5D4E29280}"/>
    <hyperlink ref="C5" r:id="rId1" xr:uid="{2D108F8C-BB17-462F-85DA-3D957AB3077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7757-99EE-4C5D-8B6A-86BD81BE795A}">
  <dimension ref="A1:E57"/>
  <sheetViews>
    <sheetView zoomScaleNormal="100" workbookViewId="0">
      <pane xSplit="1" ySplit="5" topLeftCell="B6" activePane="bottomRight" state="frozen"/>
      <selection activeCell="C8" sqref="C8"/>
      <selection pane="topRight" activeCell="C8" sqref="C8"/>
      <selection pane="bottomLeft" activeCell="C8" sqref="C8"/>
      <selection pane="bottomRight" activeCell="C11" sqref="C11"/>
    </sheetView>
  </sheetViews>
  <sheetFormatPr defaultRowHeight="14.4" x14ac:dyDescent="0.3"/>
  <cols>
    <col min="1" max="1" width="9.5546875" style="20" bestFit="1" customWidth="1"/>
    <col min="2" max="2" width="132.44140625" style="20" customWidth="1"/>
    <col min="3" max="3" width="18.44140625" style="20" customWidth="1"/>
    <col min="5" max="5" width="14.44140625" bestFit="1" customWidth="1"/>
    <col min="6" max="6" width="10" customWidth="1"/>
  </cols>
  <sheetData>
    <row r="1" spans="1:5" x14ac:dyDescent="0.3">
      <c r="A1" s="21" t="s">
        <v>41</v>
      </c>
      <c r="B1" s="23" t="str">
        <f>Info!C2</f>
        <v>სს სილქ ბანკი</v>
      </c>
      <c r="D1" s="20"/>
      <c r="E1" s="20"/>
    </row>
    <row r="2" spans="1:5" s="21" customFormat="1" ht="15.75" customHeight="1" x14ac:dyDescent="0.3">
      <c r="A2" s="21" t="s">
        <v>42</v>
      </c>
      <c r="B2" s="24">
        <f>'1. key ratios'!B2</f>
        <v>45199</v>
      </c>
    </row>
    <row r="3" spans="1:5" s="21" customFormat="1" ht="15.75" customHeight="1" x14ac:dyDescent="0.3"/>
    <row r="4" spans="1:5" ht="40.5" customHeight="1" thickBot="1" x14ac:dyDescent="0.35">
      <c r="A4" s="20" t="s">
        <v>317</v>
      </c>
      <c r="B4" s="272" t="s">
        <v>20</v>
      </c>
    </row>
    <row r="5" spans="1:5" x14ac:dyDescent="0.3">
      <c r="A5" s="273" t="s">
        <v>47</v>
      </c>
      <c r="B5" s="274"/>
      <c r="C5" s="275" t="s">
        <v>101</v>
      </c>
    </row>
    <row r="6" spans="1:5" x14ac:dyDescent="0.3">
      <c r="A6" s="276">
        <v>1</v>
      </c>
      <c r="B6" s="277" t="s">
        <v>318</v>
      </c>
      <c r="C6" s="278">
        <f>SUM(C7:C11)</f>
        <v>52669718.030394763</v>
      </c>
    </row>
    <row r="7" spans="1:5" x14ac:dyDescent="0.3">
      <c r="A7" s="276">
        <v>2</v>
      </c>
      <c r="B7" s="279" t="s">
        <v>319</v>
      </c>
      <c r="C7" s="280">
        <f>'2. SOFP'!C55</f>
        <v>62946400</v>
      </c>
    </row>
    <row r="8" spans="1:5" x14ac:dyDescent="0.3">
      <c r="A8" s="276">
        <v>3</v>
      </c>
      <c r="B8" s="281" t="s">
        <v>320</v>
      </c>
      <c r="C8" s="280"/>
    </row>
    <row r="9" spans="1:5" x14ac:dyDescent="0.3">
      <c r="A9" s="276">
        <v>4</v>
      </c>
      <c r="B9" s="281" t="s">
        <v>321</v>
      </c>
      <c r="C9" s="280"/>
    </row>
    <row r="10" spans="1:5" x14ac:dyDescent="0.3">
      <c r="A10" s="276">
        <v>5</v>
      </c>
      <c r="B10" s="281" t="s">
        <v>322</v>
      </c>
      <c r="C10" s="280">
        <f>'2. SOFP'!C64</f>
        <v>4352500.4589957595</v>
      </c>
    </row>
    <row r="11" spans="1:5" x14ac:dyDescent="0.3">
      <c r="A11" s="276">
        <v>6</v>
      </c>
      <c r="B11" s="282" t="s">
        <v>323</v>
      </c>
      <c r="C11" s="280">
        <f>'2. SOFP'!E67</f>
        <v>-14629182.428600993</v>
      </c>
    </row>
    <row r="12" spans="1:5" s="261" customFormat="1" x14ac:dyDescent="0.3">
      <c r="A12" s="276">
        <v>7</v>
      </c>
      <c r="B12" s="277" t="s">
        <v>324</v>
      </c>
      <c r="C12" s="283">
        <f>SUM(C13:C28)</f>
        <v>5437149.7789957598</v>
      </c>
    </row>
    <row r="13" spans="1:5" s="261" customFormat="1" x14ac:dyDescent="0.3">
      <c r="A13" s="276">
        <v>8</v>
      </c>
      <c r="B13" s="284" t="s">
        <v>325</v>
      </c>
      <c r="C13" s="285">
        <f>C10</f>
        <v>4352500.4589957595</v>
      </c>
    </row>
    <row r="14" spans="1:5" s="261" customFormat="1" ht="27.6" x14ac:dyDescent="0.3">
      <c r="A14" s="276">
        <v>9</v>
      </c>
      <c r="B14" s="286" t="s">
        <v>326</v>
      </c>
      <c r="C14" s="285"/>
    </row>
    <row r="15" spans="1:5" s="261" customFormat="1" x14ac:dyDescent="0.3">
      <c r="A15" s="276">
        <v>10</v>
      </c>
      <c r="B15" s="287" t="s">
        <v>123</v>
      </c>
      <c r="C15" s="285">
        <f>'7. LI1'!C28</f>
        <v>1084649.3200000005</v>
      </c>
    </row>
    <row r="16" spans="1:5" s="261" customFormat="1" x14ac:dyDescent="0.3">
      <c r="A16" s="276">
        <v>11</v>
      </c>
      <c r="B16" s="288" t="s">
        <v>327</v>
      </c>
      <c r="C16" s="285"/>
    </row>
    <row r="17" spans="1:5" s="261" customFormat="1" x14ac:dyDescent="0.3">
      <c r="A17" s="276">
        <v>12</v>
      </c>
      <c r="B17" s="287" t="s">
        <v>328</v>
      </c>
      <c r="C17" s="285"/>
    </row>
    <row r="18" spans="1:5" s="261" customFormat="1" x14ac:dyDescent="0.3">
      <c r="A18" s="276">
        <v>13</v>
      </c>
      <c r="B18" s="287" t="s">
        <v>329</v>
      </c>
      <c r="C18" s="285"/>
    </row>
    <row r="19" spans="1:5" s="261" customFormat="1" x14ac:dyDescent="0.3">
      <c r="A19" s="276">
        <v>14</v>
      </c>
      <c r="B19" s="287" t="s">
        <v>330</v>
      </c>
      <c r="C19" s="285"/>
    </row>
    <row r="20" spans="1:5" s="261" customFormat="1" ht="27.6" x14ac:dyDescent="0.3">
      <c r="A20" s="276">
        <v>15</v>
      </c>
      <c r="B20" s="287" t="s">
        <v>331</v>
      </c>
      <c r="C20" s="285"/>
    </row>
    <row r="21" spans="1:5" s="261" customFormat="1" ht="27.6" x14ac:dyDescent="0.3">
      <c r="A21" s="276">
        <v>16</v>
      </c>
      <c r="B21" s="286" t="s">
        <v>332</v>
      </c>
      <c r="C21" s="285"/>
    </row>
    <row r="22" spans="1:5" s="261" customFormat="1" x14ac:dyDescent="0.3">
      <c r="A22" s="276">
        <v>17</v>
      </c>
      <c r="B22" s="289" t="s">
        <v>333</v>
      </c>
      <c r="C22" s="285"/>
    </row>
    <row r="23" spans="1:5" s="261" customFormat="1" x14ac:dyDescent="0.3">
      <c r="A23" s="276">
        <v>18</v>
      </c>
      <c r="B23" s="290" t="s">
        <v>334</v>
      </c>
      <c r="C23" s="285"/>
    </row>
    <row r="24" spans="1:5" s="261" customFormat="1" ht="27.6" x14ac:dyDescent="0.3">
      <c r="A24" s="276">
        <v>19</v>
      </c>
      <c r="B24" s="286" t="s">
        <v>335</v>
      </c>
      <c r="C24" s="285"/>
    </row>
    <row r="25" spans="1:5" s="261" customFormat="1" ht="27.6" x14ac:dyDescent="0.3">
      <c r="A25" s="276">
        <v>20</v>
      </c>
      <c r="B25" s="286" t="s">
        <v>336</v>
      </c>
      <c r="C25" s="285"/>
    </row>
    <row r="26" spans="1:5" s="261" customFormat="1" ht="27.6" x14ac:dyDescent="0.3">
      <c r="A26" s="276">
        <v>21</v>
      </c>
      <c r="B26" s="288" t="s">
        <v>337</v>
      </c>
      <c r="C26" s="285"/>
    </row>
    <row r="27" spans="1:5" s="261" customFormat="1" x14ac:dyDescent="0.3">
      <c r="A27" s="276">
        <v>22</v>
      </c>
      <c r="B27" s="288" t="s">
        <v>338</v>
      </c>
      <c r="C27" s="285"/>
    </row>
    <row r="28" spans="1:5" s="261" customFormat="1" ht="27.6" x14ac:dyDescent="0.3">
      <c r="A28" s="276">
        <v>23</v>
      </c>
      <c r="B28" s="288" t="s">
        <v>339</v>
      </c>
      <c r="C28" s="285"/>
    </row>
    <row r="29" spans="1:5" s="261" customFormat="1" x14ac:dyDescent="0.3">
      <c r="A29" s="276">
        <v>24</v>
      </c>
      <c r="B29" s="291" t="s">
        <v>60</v>
      </c>
      <c r="C29" s="283">
        <f>C6-C12</f>
        <v>47232568.251399003</v>
      </c>
      <c r="E29" s="292"/>
    </row>
    <row r="30" spans="1:5" s="261" customFormat="1" x14ac:dyDescent="0.3">
      <c r="A30" s="293"/>
      <c r="B30" s="294"/>
      <c r="C30" s="285"/>
    </row>
    <row r="31" spans="1:5" s="261" customFormat="1" x14ac:dyDescent="0.3">
      <c r="A31" s="293">
        <v>25</v>
      </c>
      <c r="B31" s="291" t="s">
        <v>340</v>
      </c>
      <c r="C31" s="283">
        <f>C32+C35</f>
        <v>0</v>
      </c>
    </row>
    <row r="32" spans="1:5" s="261" customFormat="1" x14ac:dyDescent="0.3">
      <c r="A32" s="293">
        <v>26</v>
      </c>
      <c r="B32" s="281" t="s">
        <v>341</v>
      </c>
      <c r="C32" s="295">
        <f>C33+C34</f>
        <v>0</v>
      </c>
    </row>
    <row r="33" spans="1:3" s="261" customFormat="1" x14ac:dyDescent="0.3">
      <c r="A33" s="293">
        <v>27</v>
      </c>
      <c r="B33" s="296" t="s">
        <v>342</v>
      </c>
      <c r="C33" s="285"/>
    </row>
    <row r="34" spans="1:3" s="261" customFormat="1" x14ac:dyDescent="0.3">
      <c r="A34" s="293">
        <v>28</v>
      </c>
      <c r="B34" s="296" t="s">
        <v>343</v>
      </c>
      <c r="C34" s="285"/>
    </row>
    <row r="35" spans="1:3" s="261" customFormat="1" x14ac:dyDescent="0.3">
      <c r="A35" s="293">
        <v>29</v>
      </c>
      <c r="B35" s="281" t="s">
        <v>344</v>
      </c>
      <c r="C35" s="285"/>
    </row>
    <row r="36" spans="1:3" s="261" customFormat="1" x14ac:dyDescent="0.3">
      <c r="A36" s="293">
        <v>30</v>
      </c>
      <c r="B36" s="291" t="s">
        <v>345</v>
      </c>
      <c r="C36" s="283">
        <f>SUM(C37:C41)</f>
        <v>0</v>
      </c>
    </row>
    <row r="37" spans="1:3" s="261" customFormat="1" x14ac:dyDescent="0.3">
      <c r="A37" s="293">
        <v>31</v>
      </c>
      <c r="B37" s="286" t="s">
        <v>346</v>
      </c>
      <c r="C37" s="285"/>
    </row>
    <row r="38" spans="1:3" s="261" customFormat="1" x14ac:dyDescent="0.3">
      <c r="A38" s="293">
        <v>32</v>
      </c>
      <c r="B38" s="287" t="s">
        <v>347</v>
      </c>
      <c r="C38" s="285"/>
    </row>
    <row r="39" spans="1:3" s="261" customFormat="1" ht="27.6" x14ac:dyDescent="0.3">
      <c r="A39" s="293">
        <v>33</v>
      </c>
      <c r="B39" s="286" t="s">
        <v>348</v>
      </c>
      <c r="C39" s="285"/>
    </row>
    <row r="40" spans="1:3" s="261" customFormat="1" ht="27.6" x14ac:dyDescent="0.3">
      <c r="A40" s="293">
        <v>34</v>
      </c>
      <c r="B40" s="286" t="s">
        <v>336</v>
      </c>
      <c r="C40" s="285"/>
    </row>
    <row r="41" spans="1:3" s="261" customFormat="1" ht="27.6" x14ac:dyDescent="0.3">
      <c r="A41" s="293">
        <v>35</v>
      </c>
      <c r="B41" s="288" t="s">
        <v>349</v>
      </c>
      <c r="C41" s="285"/>
    </row>
    <row r="42" spans="1:3" s="261" customFormat="1" x14ac:dyDescent="0.3">
      <c r="A42" s="293">
        <v>36</v>
      </c>
      <c r="B42" s="291" t="s">
        <v>350</v>
      </c>
      <c r="C42" s="283">
        <f>C31-C36</f>
        <v>0</v>
      </c>
    </row>
    <row r="43" spans="1:3" s="261" customFormat="1" x14ac:dyDescent="0.3">
      <c r="A43" s="293"/>
      <c r="B43" s="294"/>
      <c r="C43" s="285"/>
    </row>
    <row r="44" spans="1:3" s="261" customFormat="1" x14ac:dyDescent="0.3">
      <c r="A44" s="293">
        <v>37</v>
      </c>
      <c r="B44" s="297" t="s">
        <v>351</v>
      </c>
      <c r="C44" s="283">
        <f>SUM(C45:C47)</f>
        <v>2875000</v>
      </c>
    </row>
    <row r="45" spans="1:3" s="261" customFormat="1" x14ac:dyDescent="0.3">
      <c r="A45" s="293">
        <v>38</v>
      </c>
      <c r="B45" s="281" t="s">
        <v>352</v>
      </c>
      <c r="C45" s="285">
        <v>2875000</v>
      </c>
    </row>
    <row r="46" spans="1:3" s="261" customFormat="1" x14ac:dyDescent="0.3">
      <c r="A46" s="293">
        <v>39</v>
      </c>
      <c r="B46" s="281" t="s">
        <v>353</v>
      </c>
      <c r="C46" s="285"/>
    </row>
    <row r="47" spans="1:3" s="261" customFormat="1" x14ac:dyDescent="0.3">
      <c r="A47" s="293">
        <v>40</v>
      </c>
      <c r="B47" s="774" t="s">
        <v>354</v>
      </c>
      <c r="C47" s="285"/>
    </row>
    <row r="48" spans="1:3" s="261" customFormat="1" x14ac:dyDescent="0.3">
      <c r="A48" s="293">
        <v>41</v>
      </c>
      <c r="B48" s="297" t="s">
        <v>355</v>
      </c>
      <c r="C48" s="283">
        <f>SUM(C49:C52)</f>
        <v>0</v>
      </c>
    </row>
    <row r="49" spans="1:3" s="261" customFormat="1" x14ac:dyDescent="0.3">
      <c r="A49" s="293">
        <v>42</v>
      </c>
      <c r="B49" s="286" t="s">
        <v>356</v>
      </c>
      <c r="C49" s="285"/>
    </row>
    <row r="50" spans="1:3" s="261" customFormat="1" x14ac:dyDescent="0.3">
      <c r="A50" s="293">
        <v>43</v>
      </c>
      <c r="B50" s="287" t="s">
        <v>357</v>
      </c>
      <c r="C50" s="285"/>
    </row>
    <row r="51" spans="1:3" s="261" customFormat="1" ht="27.6" x14ac:dyDescent="0.3">
      <c r="A51" s="293">
        <v>44</v>
      </c>
      <c r="B51" s="286" t="s">
        <v>358</v>
      </c>
      <c r="C51" s="285"/>
    </row>
    <row r="52" spans="1:3" s="261" customFormat="1" ht="27.6" x14ac:dyDescent="0.3">
      <c r="A52" s="293">
        <v>45</v>
      </c>
      <c r="B52" s="286" t="s">
        <v>336</v>
      </c>
      <c r="C52" s="285"/>
    </row>
    <row r="53" spans="1:3" s="261" customFormat="1" ht="15" thickBot="1" x14ac:dyDescent="0.35">
      <c r="A53" s="293">
        <v>46</v>
      </c>
      <c r="B53" s="298" t="s">
        <v>359</v>
      </c>
      <c r="C53" s="299">
        <f>C44-C48</f>
        <v>2875000</v>
      </c>
    </row>
    <row r="56" spans="1:3" x14ac:dyDescent="0.3">
      <c r="B56" s="20" t="s">
        <v>360</v>
      </c>
      <c r="C56" s="300"/>
    </row>
    <row r="57" spans="1:3" x14ac:dyDescent="0.3">
      <c r="C57" s="301"/>
    </row>
  </sheetData>
  <autoFilter ref="A5:E53" xr:uid="{00000000-0001-0000-0900-000000000000}"/>
  <dataValidations count="1">
    <dataValidation operator="lessThanOrEqual" allowBlank="1" showInputMessage="1" showErrorMessage="1" errorTitle="Should be negative number" error="Should be whole negative number or 0" sqref="C13:C53" xr:uid="{D11EADB9-D6AA-4DDD-8340-D4ABF885303B}"/>
  </dataValidations>
  <pageMargins left="0.7" right="0.7" top="0.75" bottom="0.75" header="0.3" footer="0.3"/>
  <pageSetup paperSize="0" orientation="portrait" horizontalDpi="0" verticalDpi="0" copies="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D5D51-0FF5-4101-9DDB-08C14C0B2257}">
  <dimension ref="A1:D23"/>
  <sheetViews>
    <sheetView workbookViewId="0">
      <selection activeCell="C19" sqref="C19:D21"/>
    </sheetView>
  </sheetViews>
  <sheetFormatPr defaultColWidth="9.109375" defaultRowHeight="13.8" x14ac:dyDescent="0.3"/>
  <cols>
    <col min="1" max="1" width="10.88671875" style="20" bestFit="1" customWidth="1"/>
    <col min="2" max="2" width="59" style="20" customWidth="1"/>
    <col min="3" max="3" width="16.6640625" style="20" bestFit="1" customWidth="1"/>
    <col min="4" max="4" width="22.109375" style="20" customWidth="1"/>
    <col min="5" max="16384" width="9.109375" style="20"/>
  </cols>
  <sheetData>
    <row r="1" spans="1:4" x14ac:dyDescent="0.3">
      <c r="A1" s="21" t="s">
        <v>41</v>
      </c>
      <c r="B1" s="23" t="str">
        <f>Info!C2</f>
        <v>სს სილქ ბანკი</v>
      </c>
    </row>
    <row r="2" spans="1:4" s="21" customFormat="1" ht="15.75" customHeight="1" x14ac:dyDescent="0.3">
      <c r="A2" s="21" t="s">
        <v>42</v>
      </c>
      <c r="B2" s="24">
        <f>'1. key ratios'!B2</f>
        <v>45199</v>
      </c>
    </row>
    <row r="3" spans="1:4" s="21" customFormat="1" ht="15.75" customHeight="1" x14ac:dyDescent="0.3"/>
    <row r="4" spans="1:4" ht="40.5" customHeight="1" thickBot="1" x14ac:dyDescent="0.35">
      <c r="A4" s="20" t="s">
        <v>361</v>
      </c>
      <c r="B4" s="302" t="s">
        <v>22</v>
      </c>
    </row>
    <row r="5" spans="1:4" s="270" customFormat="1" x14ac:dyDescent="0.3">
      <c r="A5" s="846" t="s">
        <v>362</v>
      </c>
      <c r="B5" s="847"/>
      <c r="C5" s="303" t="s">
        <v>363</v>
      </c>
      <c r="D5" s="304" t="s">
        <v>364</v>
      </c>
    </row>
    <row r="6" spans="1:4" s="308" customFormat="1" x14ac:dyDescent="0.3">
      <c r="A6" s="305">
        <v>1</v>
      </c>
      <c r="B6" s="306" t="s">
        <v>365</v>
      </c>
      <c r="C6" s="306"/>
      <c r="D6" s="307"/>
    </row>
    <row r="7" spans="1:4" s="308" customFormat="1" x14ac:dyDescent="0.3">
      <c r="A7" s="309" t="s">
        <v>366</v>
      </c>
      <c r="B7" s="310" t="s">
        <v>367</v>
      </c>
      <c r="C7" s="311">
        <v>4.4999999999999998E-2</v>
      </c>
      <c r="D7" s="312">
        <f>C7*'5. RWA'!$C$13</f>
        <v>3991260.7537255143</v>
      </c>
    </row>
    <row r="8" spans="1:4" s="308" customFormat="1" x14ac:dyDescent="0.3">
      <c r="A8" s="309" t="s">
        <v>368</v>
      </c>
      <c r="B8" s="310" t="s">
        <v>369</v>
      </c>
      <c r="C8" s="311">
        <v>0.06</v>
      </c>
      <c r="D8" s="312">
        <f>C8*'5. RWA'!$C$13</f>
        <v>5321681.0049673524</v>
      </c>
    </row>
    <row r="9" spans="1:4" s="308" customFormat="1" x14ac:dyDescent="0.3">
      <c r="A9" s="309" t="s">
        <v>370</v>
      </c>
      <c r="B9" s="310" t="s">
        <v>371</v>
      </c>
      <c r="C9" s="311">
        <v>0.08</v>
      </c>
      <c r="D9" s="312">
        <f>C9*'5. RWA'!$C$13</f>
        <v>7095574.6732898038</v>
      </c>
    </row>
    <row r="10" spans="1:4" s="308" customFormat="1" x14ac:dyDescent="0.3">
      <c r="A10" s="305" t="s">
        <v>372</v>
      </c>
      <c r="B10" s="306" t="s">
        <v>373</v>
      </c>
      <c r="C10" s="313"/>
      <c r="D10" s="314"/>
    </row>
    <row r="11" spans="1:4" s="319" customFormat="1" x14ac:dyDescent="0.3">
      <c r="A11" s="315" t="s">
        <v>374</v>
      </c>
      <c r="B11" s="316" t="s">
        <v>375</v>
      </c>
      <c r="C11" s="317">
        <v>0</v>
      </c>
      <c r="D11" s="318">
        <f>C11*'5. RWA'!$C$13</f>
        <v>0</v>
      </c>
    </row>
    <row r="12" spans="1:4" s="319" customFormat="1" x14ac:dyDescent="0.3">
      <c r="A12" s="315" t="s">
        <v>376</v>
      </c>
      <c r="B12" s="316" t="s">
        <v>377</v>
      </c>
      <c r="C12" s="317">
        <v>0</v>
      </c>
      <c r="D12" s="318">
        <f>C12*'5. RWA'!$C$13</f>
        <v>0</v>
      </c>
    </row>
    <row r="13" spans="1:4" s="319" customFormat="1" x14ac:dyDescent="0.3">
      <c r="A13" s="315" t="s">
        <v>378</v>
      </c>
      <c r="B13" s="316" t="s">
        <v>379</v>
      </c>
      <c r="C13" s="317">
        <v>0</v>
      </c>
      <c r="D13" s="318">
        <f>C13*'5. RWA'!$C$13</f>
        <v>0</v>
      </c>
    </row>
    <row r="14" spans="1:4" s="308" customFormat="1" x14ac:dyDescent="0.3">
      <c r="A14" s="305" t="s">
        <v>380</v>
      </c>
      <c r="B14" s="306" t="s">
        <v>381</v>
      </c>
      <c r="C14" s="320"/>
      <c r="D14" s="314"/>
    </row>
    <row r="15" spans="1:4" s="308" customFormat="1" x14ac:dyDescent="0.3">
      <c r="A15" s="321" t="s">
        <v>382</v>
      </c>
      <c r="B15" s="316" t="s">
        <v>383</v>
      </c>
      <c r="C15" s="317">
        <v>0.10763864725926697</v>
      </c>
      <c r="D15" s="318">
        <f>C15*'5. RWA'!$C$13</f>
        <v>9546975.7420003712</v>
      </c>
    </row>
    <row r="16" spans="1:4" s="308" customFormat="1" x14ac:dyDescent="0.3">
      <c r="A16" s="321" t="s">
        <v>384</v>
      </c>
      <c r="B16" s="316" t="s">
        <v>385</v>
      </c>
      <c r="C16" s="317">
        <v>0.13209034786946436</v>
      </c>
      <c r="D16" s="318">
        <f>C16*'5. RWA'!$C$13</f>
        <v>11715711.586607639</v>
      </c>
    </row>
    <row r="17" spans="1:4" s="308" customFormat="1" x14ac:dyDescent="0.3">
      <c r="A17" s="321" t="s">
        <v>386</v>
      </c>
      <c r="B17" s="316" t="s">
        <v>387</v>
      </c>
      <c r="C17" s="317">
        <v>0.16426363814603989</v>
      </c>
      <c r="D17" s="318">
        <f>C17*'5. RWA'!$C$13</f>
        <v>14569311.382143518</v>
      </c>
    </row>
    <row r="18" spans="1:4" s="270" customFormat="1" x14ac:dyDescent="0.3">
      <c r="A18" s="848" t="s">
        <v>388</v>
      </c>
      <c r="B18" s="849"/>
      <c r="C18" s="322" t="s">
        <v>363</v>
      </c>
      <c r="D18" s="323" t="s">
        <v>364</v>
      </c>
    </row>
    <row r="19" spans="1:4" s="308" customFormat="1" x14ac:dyDescent="0.3">
      <c r="A19" s="324">
        <v>4</v>
      </c>
      <c r="B19" s="316" t="s">
        <v>60</v>
      </c>
      <c r="C19" s="317">
        <f>C7+C11+C12+C13+C15</f>
        <v>0.15263864725926696</v>
      </c>
      <c r="D19" s="312">
        <f>C19*'5. RWA'!$C$13</f>
        <v>13538236.495725883</v>
      </c>
    </row>
    <row r="20" spans="1:4" s="308" customFormat="1" x14ac:dyDescent="0.3">
      <c r="A20" s="324">
        <v>5</v>
      </c>
      <c r="B20" s="316" t="s">
        <v>61</v>
      </c>
      <c r="C20" s="317">
        <f>C8+C11+C12+C13+C16</f>
        <v>0.19209034786946436</v>
      </c>
      <c r="D20" s="312">
        <f>C20*'5. RWA'!$C$13</f>
        <v>17037392.591574989</v>
      </c>
    </row>
    <row r="21" spans="1:4" s="308" customFormat="1" ht="14.4" thickBot="1" x14ac:dyDescent="0.35">
      <c r="A21" s="325" t="s">
        <v>389</v>
      </c>
      <c r="B21" s="326" t="s">
        <v>20</v>
      </c>
      <c r="C21" s="327">
        <f>C9+C11+C12+C13+C17</f>
        <v>0.24426363814603991</v>
      </c>
      <c r="D21" s="328">
        <f>C21*'5. RWA'!$C$13</f>
        <v>21664886.055433322</v>
      </c>
    </row>
    <row r="22" spans="1:4" x14ac:dyDescent="0.3">
      <c r="B22" s="203"/>
    </row>
    <row r="23" spans="1:4" ht="69" x14ac:dyDescent="0.3">
      <c r="B23" s="109" t="s">
        <v>390</v>
      </c>
    </row>
  </sheetData>
  <mergeCells count="2">
    <mergeCell ref="A5:B5"/>
    <mergeCell ref="A18:B18"/>
  </mergeCells>
  <conditionalFormatting sqref="C21">
    <cfRule type="cellIs" dxfId="30"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82E0-7B8B-4F85-B824-D3C821B7DD63}">
  <dimension ref="A1:F70"/>
  <sheetViews>
    <sheetView zoomScaleNormal="100" workbookViewId="0">
      <pane xSplit="1" ySplit="5" topLeftCell="B6" activePane="bottomRight" state="frozen"/>
      <selection activeCell="C8" sqref="C8"/>
      <selection pane="topRight" activeCell="C8" sqref="C8"/>
      <selection pane="bottomLeft" activeCell="C8" sqref="C8"/>
      <selection pane="bottomRight" activeCell="D69" sqref="C6:D69"/>
    </sheetView>
  </sheetViews>
  <sheetFormatPr defaultRowHeight="14.4" x14ac:dyDescent="0.3"/>
  <cols>
    <col min="1" max="1" width="10.6640625" style="329" customWidth="1"/>
    <col min="2" max="2" width="91.88671875" style="329" customWidth="1"/>
    <col min="3" max="3" width="53.109375" style="329" customWidth="1"/>
    <col min="4" max="4" width="32.33203125" style="329" customWidth="1"/>
    <col min="5" max="5" width="9.44140625" customWidth="1"/>
    <col min="6" max="6" width="14.44140625" customWidth="1"/>
  </cols>
  <sheetData>
    <row r="1" spans="1:6" x14ac:dyDescent="0.3">
      <c r="A1" s="21" t="s">
        <v>41</v>
      </c>
      <c r="B1" s="108" t="str">
        <f>Info!C2</f>
        <v>სს სილქ ბანკი</v>
      </c>
      <c r="E1" s="20"/>
      <c r="F1" s="20"/>
    </row>
    <row r="2" spans="1:6" s="21" customFormat="1" ht="15.75" customHeight="1" x14ac:dyDescent="0.3">
      <c r="A2" s="21" t="s">
        <v>42</v>
      </c>
      <c r="B2" s="24">
        <f>'1. key ratios'!B2</f>
        <v>45199</v>
      </c>
    </row>
    <row r="3" spans="1:6" s="21" customFormat="1" ht="15.75" customHeight="1" x14ac:dyDescent="0.3">
      <c r="A3" s="330"/>
    </row>
    <row r="4" spans="1:6" s="21" customFormat="1" ht="40.5" customHeight="1" thickBot="1" x14ac:dyDescent="0.35">
      <c r="A4" s="21" t="s">
        <v>391</v>
      </c>
      <c r="B4" s="331" t="s">
        <v>23</v>
      </c>
      <c r="D4" s="332" t="s">
        <v>245</v>
      </c>
    </row>
    <row r="5" spans="1:6" ht="27.6" x14ac:dyDescent="0.3">
      <c r="A5" s="333" t="s">
        <v>47</v>
      </c>
      <c r="B5" s="334" t="s">
        <v>300</v>
      </c>
      <c r="C5" s="335" t="s">
        <v>392</v>
      </c>
      <c r="D5" s="336" t="s">
        <v>393</v>
      </c>
    </row>
    <row r="6" spans="1:6" x14ac:dyDescent="0.3">
      <c r="A6" s="116">
        <v>1</v>
      </c>
      <c r="B6" s="117" t="s">
        <v>105</v>
      </c>
      <c r="C6" s="337">
        <f>SUM(C7:C9)</f>
        <v>67573154.00000006</v>
      </c>
      <c r="D6" s="338"/>
      <c r="E6" s="339"/>
    </row>
    <row r="7" spans="1:6" x14ac:dyDescent="0.3">
      <c r="A7" s="116">
        <v>1.1000000000000001</v>
      </c>
      <c r="B7" s="120" t="s">
        <v>106</v>
      </c>
      <c r="C7" s="340">
        <f>'7. LI1'!E9</f>
        <v>2841108.1799999923</v>
      </c>
      <c r="D7" s="341"/>
      <c r="E7" s="339"/>
    </row>
    <row r="8" spans="1:6" x14ac:dyDescent="0.3">
      <c r="A8" s="116">
        <v>1.2</v>
      </c>
      <c r="B8" s="120" t="s">
        <v>107</v>
      </c>
      <c r="C8" s="340">
        <f>'7. LI1'!E10</f>
        <v>7119678.4500000402</v>
      </c>
      <c r="D8" s="341"/>
      <c r="E8" s="339"/>
    </row>
    <row r="9" spans="1:6" x14ac:dyDescent="0.3">
      <c r="A9" s="116">
        <v>1.3</v>
      </c>
      <c r="B9" s="120" t="s">
        <v>108</v>
      </c>
      <c r="C9" s="340">
        <f>'7. LI1'!E11</f>
        <v>57612367.370000027</v>
      </c>
      <c r="D9" s="341"/>
      <c r="E9" s="339"/>
    </row>
    <row r="10" spans="1:6" x14ac:dyDescent="0.3">
      <c r="A10" s="116">
        <v>2</v>
      </c>
      <c r="B10" s="122" t="s">
        <v>109</v>
      </c>
      <c r="C10" s="340">
        <f>'7. LI1'!E12</f>
        <v>25490</v>
      </c>
      <c r="D10" s="341"/>
      <c r="E10" s="339"/>
    </row>
    <row r="11" spans="1:6" x14ac:dyDescent="0.3">
      <c r="A11" s="116">
        <v>2.1</v>
      </c>
      <c r="B11" s="123" t="s">
        <v>110</v>
      </c>
      <c r="C11" s="340">
        <f>'7. LI1'!E13</f>
        <v>25490</v>
      </c>
      <c r="D11" s="342"/>
      <c r="E11" s="343"/>
    </row>
    <row r="12" spans="1:6" ht="23.4" customHeight="1" x14ac:dyDescent="0.3">
      <c r="A12" s="116">
        <v>3</v>
      </c>
      <c r="B12" s="124" t="s">
        <v>111</v>
      </c>
      <c r="C12" s="340">
        <f>'7. LI1'!E14</f>
        <v>0</v>
      </c>
      <c r="D12" s="342"/>
      <c r="E12" s="343"/>
    </row>
    <row r="13" spans="1:6" ht="23.1" customHeight="1" x14ac:dyDescent="0.3">
      <c r="A13" s="116">
        <v>4</v>
      </c>
      <c r="B13" s="125" t="s">
        <v>112</v>
      </c>
      <c r="C13" s="340">
        <f>'7. LI1'!E15</f>
        <v>0</v>
      </c>
      <c r="D13" s="342"/>
      <c r="E13" s="343"/>
    </row>
    <row r="14" spans="1:6" x14ac:dyDescent="0.3">
      <c r="A14" s="116">
        <v>5</v>
      </c>
      <c r="B14" s="125" t="s">
        <v>113</v>
      </c>
      <c r="C14" s="344">
        <f>SUM(C15:C17)</f>
        <v>20000</v>
      </c>
      <c r="D14" s="342"/>
      <c r="E14" s="343"/>
    </row>
    <row r="15" spans="1:6" x14ac:dyDescent="0.3">
      <c r="A15" s="116">
        <v>5.0999999999999996</v>
      </c>
      <c r="B15" s="128" t="s">
        <v>114</v>
      </c>
      <c r="C15" s="340">
        <f>'7. LI1'!E17</f>
        <v>20000</v>
      </c>
      <c r="D15" s="342"/>
      <c r="E15" s="339"/>
    </row>
    <row r="16" spans="1:6" x14ac:dyDescent="0.3">
      <c r="A16" s="116">
        <v>5.2</v>
      </c>
      <c r="B16" s="128" t="s">
        <v>115</v>
      </c>
      <c r="C16" s="340">
        <f>'7. LI1'!E18</f>
        <v>0</v>
      </c>
      <c r="D16" s="341"/>
      <c r="E16" s="339"/>
    </row>
    <row r="17" spans="1:6" x14ac:dyDescent="0.3">
      <c r="A17" s="116">
        <v>5.3</v>
      </c>
      <c r="B17" s="128" t="s">
        <v>116</v>
      </c>
      <c r="C17" s="340">
        <f>'7. LI1'!E19</f>
        <v>0</v>
      </c>
      <c r="D17" s="341"/>
      <c r="E17" s="339"/>
    </row>
    <row r="18" spans="1:6" x14ac:dyDescent="0.3">
      <c r="A18" s="116">
        <v>6</v>
      </c>
      <c r="B18" s="124" t="s">
        <v>117</v>
      </c>
      <c r="C18" s="345">
        <f>SUM(C19:C20)</f>
        <v>55444087.978069715</v>
      </c>
      <c r="D18" s="341"/>
      <c r="E18" s="339"/>
    </row>
    <row r="19" spans="1:6" x14ac:dyDescent="0.3">
      <c r="A19" s="116">
        <v>6.1</v>
      </c>
      <c r="B19" s="128" t="s">
        <v>115</v>
      </c>
      <c r="C19" s="346">
        <f>'7. LI1'!C21</f>
        <v>24831249.678959433</v>
      </c>
      <c r="D19" s="341"/>
      <c r="E19" s="339"/>
    </row>
    <row r="20" spans="1:6" x14ac:dyDescent="0.3">
      <c r="A20" s="116">
        <v>6.2</v>
      </c>
      <c r="B20" s="128" t="s">
        <v>116</v>
      </c>
      <c r="C20" s="346">
        <f>'7. LI1'!C22</f>
        <v>30612838.299110282</v>
      </c>
      <c r="D20" s="341"/>
      <c r="E20" s="339"/>
    </row>
    <row r="21" spans="1:6" x14ac:dyDescent="0.3">
      <c r="A21" s="116">
        <v>7</v>
      </c>
      <c r="B21" s="137" t="s">
        <v>118</v>
      </c>
      <c r="C21" s="344"/>
      <c r="D21" s="341"/>
      <c r="E21" s="339"/>
    </row>
    <row r="22" spans="1:6" x14ac:dyDescent="0.3">
      <c r="A22" s="116">
        <v>8</v>
      </c>
      <c r="B22" s="347" t="s">
        <v>119</v>
      </c>
      <c r="C22" s="345">
        <f>'7. LI1'!E24</f>
        <v>3351211.9415073614</v>
      </c>
      <c r="D22" s="341"/>
      <c r="E22" s="339"/>
    </row>
    <row r="23" spans="1:6" x14ac:dyDescent="0.3">
      <c r="A23" s="116">
        <v>9</v>
      </c>
      <c r="B23" s="125" t="s">
        <v>120</v>
      </c>
      <c r="C23" s="345">
        <f>SUM(C24:C25)</f>
        <v>20331789.659999996</v>
      </c>
      <c r="D23" s="348"/>
      <c r="E23" s="339"/>
    </row>
    <row r="24" spans="1:6" x14ac:dyDescent="0.3">
      <c r="A24" s="116">
        <v>9.1</v>
      </c>
      <c r="B24" s="131" t="s">
        <v>121</v>
      </c>
      <c r="C24" s="349">
        <f>'7. LI1'!E26</f>
        <v>20331789.659999996</v>
      </c>
      <c r="D24" s="350"/>
      <c r="E24" s="339"/>
    </row>
    <row r="25" spans="1:6" x14ac:dyDescent="0.3">
      <c r="A25" s="116">
        <v>9.1999999999999993</v>
      </c>
      <c r="B25" s="131" t="s">
        <v>122</v>
      </c>
      <c r="C25" s="349">
        <f>'7. LI1'!E27</f>
        <v>0</v>
      </c>
      <c r="D25" s="351"/>
      <c r="E25" s="352"/>
    </row>
    <row r="26" spans="1:6" x14ac:dyDescent="0.3">
      <c r="A26" s="116">
        <v>10</v>
      </c>
      <c r="B26" s="125" t="s">
        <v>123</v>
      </c>
      <c r="C26" s="353">
        <f>SUM(C27:C28)</f>
        <v>1084649.3200000005</v>
      </c>
      <c r="D26" s="354" t="s">
        <v>394</v>
      </c>
      <c r="E26" s="339"/>
      <c r="F26" s="775"/>
    </row>
    <row r="27" spans="1:6" x14ac:dyDescent="0.3">
      <c r="A27" s="116">
        <v>10.1</v>
      </c>
      <c r="B27" s="131" t="s">
        <v>124</v>
      </c>
      <c r="C27" s="340">
        <f>'7. LI1'!C29</f>
        <v>0</v>
      </c>
      <c r="D27" s="341"/>
      <c r="E27" s="339"/>
    </row>
    <row r="28" spans="1:6" x14ac:dyDescent="0.3">
      <c r="A28" s="116">
        <v>10.199999999999999</v>
      </c>
      <c r="B28" s="131" t="s">
        <v>125</v>
      </c>
      <c r="C28" s="340">
        <f>'7. LI1'!C30</f>
        <v>1084649.3200000005</v>
      </c>
      <c r="D28" s="341"/>
      <c r="E28" s="339"/>
    </row>
    <row r="29" spans="1:6" x14ac:dyDescent="0.3">
      <c r="A29" s="116">
        <v>11</v>
      </c>
      <c r="B29" s="125" t="s">
        <v>126</v>
      </c>
      <c r="C29" s="345">
        <f>SUM(C30:C31)</f>
        <v>45248.5</v>
      </c>
      <c r="D29" s="341"/>
      <c r="E29" s="339"/>
    </row>
    <row r="30" spans="1:6" x14ac:dyDescent="0.3">
      <c r="A30" s="116">
        <v>11.1</v>
      </c>
      <c r="B30" s="131" t="s">
        <v>127</v>
      </c>
      <c r="C30" s="340">
        <f>'7. LI1'!C32</f>
        <v>45248.5</v>
      </c>
      <c r="D30" s="341"/>
      <c r="E30" s="339"/>
    </row>
    <row r="31" spans="1:6" x14ac:dyDescent="0.3">
      <c r="A31" s="116">
        <v>11.2</v>
      </c>
      <c r="B31" s="131" t="s">
        <v>128</v>
      </c>
      <c r="C31" s="340">
        <f>'7. LI1'!C33</f>
        <v>0</v>
      </c>
      <c r="D31" s="341"/>
      <c r="E31" s="339"/>
    </row>
    <row r="32" spans="1:6" x14ac:dyDescent="0.3">
      <c r="A32" s="116">
        <v>13</v>
      </c>
      <c r="B32" s="125" t="s">
        <v>129</v>
      </c>
      <c r="C32" s="340">
        <f>'7. LI1'!C34</f>
        <v>2185557</v>
      </c>
      <c r="D32" s="341"/>
      <c r="E32" s="339"/>
    </row>
    <row r="33" spans="1:5" x14ac:dyDescent="0.3">
      <c r="A33" s="116">
        <v>13.1</v>
      </c>
      <c r="B33" s="132" t="s">
        <v>130</v>
      </c>
      <c r="C33" s="340">
        <f>'7. LI1'!C35</f>
        <v>0</v>
      </c>
      <c r="D33" s="341"/>
      <c r="E33" s="339"/>
    </row>
    <row r="34" spans="1:5" x14ac:dyDescent="0.3">
      <c r="A34" s="116">
        <v>13.2</v>
      </c>
      <c r="B34" s="132" t="s">
        <v>131</v>
      </c>
      <c r="C34" s="340">
        <f>'7. LI1'!C36</f>
        <v>0</v>
      </c>
      <c r="D34" s="350"/>
      <c r="E34" s="339"/>
    </row>
    <row r="35" spans="1:5" x14ac:dyDescent="0.3">
      <c r="A35" s="116">
        <v>14</v>
      </c>
      <c r="B35" s="133" t="s">
        <v>132</v>
      </c>
      <c r="C35" s="355">
        <f>SUM(C6,C10,C12,C13,C14,C18,C21,C22,C23,C26,C29,C32)</f>
        <v>150061188.39957714</v>
      </c>
      <c r="D35" s="350"/>
      <c r="E35" s="339"/>
    </row>
    <row r="36" spans="1:5" x14ac:dyDescent="0.3">
      <c r="A36" s="116"/>
      <c r="B36" s="135" t="s">
        <v>133</v>
      </c>
      <c r="C36" s="356"/>
      <c r="D36" s="357"/>
      <c r="E36" s="339"/>
    </row>
    <row r="37" spans="1:5" x14ac:dyDescent="0.3">
      <c r="A37" s="116">
        <v>15</v>
      </c>
      <c r="B37" s="136" t="s">
        <v>134</v>
      </c>
      <c r="C37" s="358">
        <f>'2. SOFP'!E38</f>
        <v>48254.84601303783</v>
      </c>
      <c r="D37" s="351"/>
      <c r="E37" s="352"/>
    </row>
    <row r="38" spans="1:5" x14ac:dyDescent="0.3">
      <c r="A38" s="116">
        <v>15.1</v>
      </c>
      <c r="B38" s="123" t="s">
        <v>110</v>
      </c>
      <c r="C38" s="358">
        <f>'2. SOFP'!E39</f>
        <v>48254.84601303783</v>
      </c>
      <c r="D38" s="341"/>
      <c r="E38" s="339"/>
    </row>
    <row r="39" spans="1:5" ht="20.399999999999999" x14ac:dyDescent="0.3">
      <c r="A39" s="116">
        <v>16</v>
      </c>
      <c r="B39" s="137" t="s">
        <v>135</v>
      </c>
      <c r="C39" s="358">
        <f>'2. SOFP'!E40</f>
        <v>0</v>
      </c>
      <c r="D39" s="341"/>
      <c r="E39" s="339"/>
    </row>
    <row r="40" spans="1:5" x14ac:dyDescent="0.3">
      <c r="A40" s="116">
        <v>17</v>
      </c>
      <c r="B40" s="137" t="s">
        <v>136</v>
      </c>
      <c r="C40" s="345">
        <f>SUM(C41:C44)</f>
        <v>91597681.269261688</v>
      </c>
      <c r="D40" s="341"/>
      <c r="E40" s="339"/>
    </row>
    <row r="41" spans="1:5" x14ac:dyDescent="0.3">
      <c r="A41" s="116">
        <v>17.100000000000001</v>
      </c>
      <c r="B41" s="139" t="s">
        <v>137</v>
      </c>
      <c r="C41" s="340">
        <f>'2. SOFP'!E42</f>
        <v>90190506.759261683</v>
      </c>
      <c r="D41" s="341"/>
      <c r="E41" s="339"/>
    </row>
    <row r="42" spans="1:5" x14ac:dyDescent="0.3">
      <c r="A42" s="359">
        <v>17.2</v>
      </c>
      <c r="B42" s="360" t="s">
        <v>138</v>
      </c>
      <c r="C42" s="340">
        <f>'2. SOFP'!E43</f>
        <v>0</v>
      </c>
      <c r="D42" s="350"/>
      <c r="E42" s="339"/>
    </row>
    <row r="43" spans="1:5" x14ac:dyDescent="0.3">
      <c r="A43" s="116">
        <v>17.3</v>
      </c>
      <c r="B43" s="361" t="s">
        <v>139</v>
      </c>
      <c r="C43" s="340">
        <f>'2. SOFP'!E44</f>
        <v>0</v>
      </c>
      <c r="D43" s="362"/>
      <c r="E43" s="339"/>
    </row>
    <row r="44" spans="1:5" x14ac:dyDescent="0.3">
      <c r="A44" s="116">
        <v>17.399999999999999</v>
      </c>
      <c r="B44" s="361" t="s">
        <v>140</v>
      </c>
      <c r="C44" s="340">
        <f>'2. SOFP'!E45</f>
        <v>1407174.51</v>
      </c>
      <c r="D44" s="362"/>
      <c r="E44" s="339"/>
    </row>
    <row r="45" spans="1:5" x14ac:dyDescent="0.3">
      <c r="A45" s="116">
        <v>18</v>
      </c>
      <c r="B45" s="143" t="s">
        <v>141</v>
      </c>
      <c r="C45" s="340">
        <f>'2. SOFP'!E46</f>
        <v>63806.451020865476</v>
      </c>
      <c r="D45" s="362"/>
      <c r="E45" s="352"/>
    </row>
    <row r="46" spans="1:5" x14ac:dyDescent="0.3">
      <c r="A46" s="116">
        <v>19</v>
      </c>
      <c r="B46" s="143" t="s">
        <v>142</v>
      </c>
      <c r="C46" s="363">
        <f>SUM(C47:C48)</f>
        <v>1791294.3688867388</v>
      </c>
      <c r="D46" s="3"/>
    </row>
    <row r="47" spans="1:5" x14ac:dyDescent="0.3">
      <c r="A47" s="116">
        <v>19.100000000000001</v>
      </c>
      <c r="B47" s="364" t="s">
        <v>143</v>
      </c>
      <c r="C47" s="365">
        <f>'2. SOFP'!E48</f>
        <v>0</v>
      </c>
      <c r="D47" s="3"/>
    </row>
    <row r="48" spans="1:5" x14ac:dyDescent="0.3">
      <c r="A48" s="116">
        <v>19.2</v>
      </c>
      <c r="B48" s="364" t="s">
        <v>144</v>
      </c>
      <c r="C48" s="365">
        <f>'2. SOFP'!E49</f>
        <v>1791294.3688867388</v>
      </c>
      <c r="D48" s="3"/>
    </row>
    <row r="49" spans="1:6" x14ac:dyDescent="0.3">
      <c r="A49" s="116">
        <v>20</v>
      </c>
      <c r="B49" s="133" t="s">
        <v>145</v>
      </c>
      <c r="C49" s="366">
        <f>'2. SOFP'!E50</f>
        <v>3201096.76</v>
      </c>
      <c r="D49" s="3"/>
      <c r="F49" s="243"/>
    </row>
    <row r="50" spans="1:6" x14ac:dyDescent="0.3">
      <c r="A50" s="116">
        <v>20.100000000000001</v>
      </c>
      <c r="B50" s="133" t="s">
        <v>395</v>
      </c>
      <c r="C50" s="366">
        <v>2875000</v>
      </c>
      <c r="D50" s="354" t="s">
        <v>396</v>
      </c>
      <c r="F50" s="243"/>
    </row>
    <row r="51" spans="1:6" x14ac:dyDescent="0.3">
      <c r="A51" s="116">
        <v>21</v>
      </c>
      <c r="B51" s="122" t="s">
        <v>146</v>
      </c>
      <c r="C51" s="365">
        <f>'2. SOFP'!E51</f>
        <v>689336.48999999953</v>
      </c>
      <c r="D51" s="3"/>
    </row>
    <row r="52" spans="1:6" x14ac:dyDescent="0.3">
      <c r="A52" s="116">
        <v>21.1</v>
      </c>
      <c r="B52" s="120" t="s">
        <v>147</v>
      </c>
      <c r="C52" s="365">
        <f>'2. SOFP'!E52</f>
        <v>0</v>
      </c>
      <c r="D52" s="3"/>
    </row>
    <row r="53" spans="1:6" x14ac:dyDescent="0.3">
      <c r="A53" s="116">
        <v>22</v>
      </c>
      <c r="B53" s="133" t="s">
        <v>148</v>
      </c>
      <c r="C53" s="363">
        <f>SUM(C37,C39,C40,C45,C46,C49,C51)</f>
        <v>97391470.185182333</v>
      </c>
      <c r="D53" s="3"/>
    </row>
    <row r="54" spans="1:6" x14ac:dyDescent="0.3">
      <c r="A54" s="116"/>
      <c r="B54" s="135" t="s">
        <v>149</v>
      </c>
      <c r="C54" s="3"/>
      <c r="D54" s="3"/>
    </row>
    <row r="55" spans="1:6" x14ac:dyDescent="0.3">
      <c r="A55" s="116">
        <v>23</v>
      </c>
      <c r="B55" s="133" t="s">
        <v>150</v>
      </c>
      <c r="C55" s="367">
        <f>'2. SOFP'!E55</f>
        <v>62946400</v>
      </c>
      <c r="D55" s="354" t="s">
        <v>1018</v>
      </c>
    </row>
    <row r="56" spans="1:6" x14ac:dyDescent="0.3">
      <c r="A56" s="116">
        <v>24</v>
      </c>
      <c r="B56" s="133" t="s">
        <v>151</v>
      </c>
      <c r="C56" s="367">
        <f>'2. SOFP'!E56</f>
        <v>0</v>
      </c>
      <c r="D56" s="3"/>
    </row>
    <row r="57" spans="1:6" x14ac:dyDescent="0.3">
      <c r="A57" s="116">
        <v>25</v>
      </c>
      <c r="B57" s="133" t="s">
        <v>152</v>
      </c>
      <c r="C57" s="367">
        <f>'2. SOFP'!E57</f>
        <v>0</v>
      </c>
      <c r="D57" s="3"/>
    </row>
    <row r="58" spans="1:6" x14ac:dyDescent="0.3">
      <c r="A58" s="116">
        <v>26</v>
      </c>
      <c r="B58" s="143" t="s">
        <v>153</v>
      </c>
      <c r="C58" s="367">
        <f>'2. SOFP'!E58</f>
        <v>0</v>
      </c>
      <c r="D58" s="3"/>
    </row>
    <row r="59" spans="1:6" x14ac:dyDescent="0.3">
      <c r="A59" s="116">
        <v>27</v>
      </c>
      <c r="B59" s="143" t="s">
        <v>154</v>
      </c>
      <c r="C59" s="367">
        <f>SUM(C60:C61)</f>
        <v>0</v>
      </c>
      <c r="D59" s="3"/>
    </row>
    <row r="60" spans="1:6" x14ac:dyDescent="0.3">
      <c r="A60" s="116">
        <v>27.1</v>
      </c>
      <c r="B60" s="364" t="s">
        <v>155</v>
      </c>
      <c r="C60" s="368">
        <f>'2. SOFP'!E60</f>
        <v>0</v>
      </c>
      <c r="D60" s="3"/>
    </row>
    <row r="61" spans="1:6" x14ac:dyDescent="0.3">
      <c r="A61" s="116">
        <v>27.2</v>
      </c>
      <c r="B61" s="361" t="s">
        <v>156</v>
      </c>
      <c r="C61" s="368">
        <f>'2. SOFP'!E61</f>
        <v>0</v>
      </c>
      <c r="D61" s="3"/>
    </row>
    <row r="62" spans="1:6" x14ac:dyDescent="0.3">
      <c r="A62" s="116">
        <v>28</v>
      </c>
      <c r="B62" s="122" t="s">
        <v>157</v>
      </c>
      <c r="C62" s="368">
        <f>'2. SOFP'!E62</f>
        <v>0</v>
      </c>
      <c r="D62" s="3"/>
    </row>
    <row r="63" spans="1:6" x14ac:dyDescent="0.3">
      <c r="A63" s="116">
        <v>29</v>
      </c>
      <c r="B63" s="143" t="s">
        <v>158</v>
      </c>
      <c r="C63" s="367">
        <f>SUM(C64:C66)</f>
        <v>4352500.4589957595</v>
      </c>
      <c r="D63" s="3"/>
    </row>
    <row r="64" spans="1:6" x14ac:dyDescent="0.3">
      <c r="A64" s="116">
        <v>29.1</v>
      </c>
      <c r="B64" s="369" t="s">
        <v>159</v>
      </c>
      <c r="C64" s="368">
        <f>'2. SOFP'!E64</f>
        <v>4352500.4589957595</v>
      </c>
      <c r="D64" s="3"/>
    </row>
    <row r="65" spans="1:4" ht="24" customHeight="1" x14ac:dyDescent="0.3">
      <c r="A65" s="116">
        <v>29.2</v>
      </c>
      <c r="B65" s="364" t="s">
        <v>160</v>
      </c>
      <c r="C65" s="368">
        <f>'2. SOFP'!E65</f>
        <v>0</v>
      </c>
      <c r="D65" s="3"/>
    </row>
    <row r="66" spans="1:4" ht="21.9" customHeight="1" x14ac:dyDescent="0.3">
      <c r="A66" s="116">
        <v>29.3</v>
      </c>
      <c r="B66" s="370" t="s">
        <v>161</v>
      </c>
      <c r="C66" s="368">
        <f>'2. SOFP'!E66</f>
        <v>0</v>
      </c>
      <c r="D66" s="3"/>
    </row>
    <row r="67" spans="1:4" x14ac:dyDescent="0.3">
      <c r="A67" s="116">
        <v>30</v>
      </c>
      <c r="B67" s="143" t="s">
        <v>162</v>
      </c>
      <c r="C67" s="368">
        <f>'2. SOFP'!E67</f>
        <v>-14629182.428600993</v>
      </c>
      <c r="D67" s="354" t="s">
        <v>1017</v>
      </c>
    </row>
    <row r="68" spans="1:4" x14ac:dyDescent="0.3">
      <c r="A68" s="116">
        <v>31</v>
      </c>
      <c r="B68" s="142" t="s">
        <v>163</v>
      </c>
      <c r="C68" s="367">
        <f>SUM(C55,C56,C57,C58,C59,C62,C63,C67)</f>
        <v>52669718.030394763</v>
      </c>
      <c r="D68" s="3"/>
    </row>
    <row r="69" spans="1:4" x14ac:dyDescent="0.3">
      <c r="A69" s="116">
        <v>32</v>
      </c>
      <c r="B69" s="143" t="s">
        <v>164</v>
      </c>
      <c r="C69" s="367">
        <f>SUM(C53,C68)</f>
        <v>150061188.2155771</v>
      </c>
      <c r="D69" s="3"/>
    </row>
    <row r="70" spans="1:4" x14ac:dyDescent="0.3">
      <c r="C70" s="37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327-0386-4686-B604-6AAC2AA71738}">
  <dimension ref="A1:S22"/>
  <sheetViews>
    <sheetView workbookViewId="0">
      <pane xSplit="2" ySplit="7" topLeftCell="C8" activePane="bottomRight" state="frozen"/>
      <selection activeCell="C8" sqref="C8"/>
      <selection pane="topRight" activeCell="C8" sqref="C8"/>
      <selection pane="bottomLeft" activeCell="C8" sqref="C8"/>
      <selection pane="bottomRight" activeCell="C8" sqref="C8:S22"/>
    </sheetView>
  </sheetViews>
  <sheetFormatPr defaultColWidth="9.109375" defaultRowHeight="13.8" x14ac:dyDescent="0.3"/>
  <cols>
    <col min="1" max="1" width="10.5546875" style="20" bestFit="1" customWidth="1"/>
    <col min="2" max="2" width="95" style="20" customWidth="1"/>
    <col min="3" max="3" width="13.88671875" style="20" customWidth="1"/>
    <col min="4" max="4" width="13.33203125" style="20" bestFit="1" customWidth="1"/>
    <col min="5" max="5" width="14" style="20" customWidth="1"/>
    <col min="6" max="6" width="13.33203125" style="20" bestFit="1" customWidth="1"/>
    <col min="7" max="7" width="62.109375" style="20" customWidth="1"/>
    <col min="8" max="8" width="13.33203125" style="20" bestFit="1" customWidth="1"/>
    <col min="9" max="9" width="12.44140625" style="20" customWidth="1"/>
    <col min="10" max="10" width="13.33203125" style="20" bestFit="1" customWidth="1"/>
    <col min="11" max="11" width="11.5546875" style="20" customWidth="1"/>
    <col min="12" max="12" width="13.33203125" style="20" bestFit="1" customWidth="1"/>
    <col min="13" max="13" width="13.44140625" style="20" customWidth="1"/>
    <col min="14" max="14" width="13.33203125" style="20" bestFit="1" customWidth="1"/>
    <col min="15" max="15" width="14" style="20" customWidth="1"/>
    <col min="16" max="16" width="13.33203125" style="20" bestFit="1" customWidth="1"/>
    <col min="17" max="17" width="13" style="20" customWidth="1"/>
    <col min="18" max="18" width="14" style="20" customWidth="1"/>
    <col min="19" max="19" width="31.5546875" style="20" bestFit="1" customWidth="1"/>
    <col min="20" max="16384" width="9.109375" style="181"/>
  </cols>
  <sheetData>
    <row r="1" spans="1:19" x14ac:dyDescent="0.3">
      <c r="A1" s="20" t="s">
        <v>41</v>
      </c>
      <c r="B1" s="20" t="str">
        <f>Info!C2</f>
        <v>სს სილქ ბანკი</v>
      </c>
    </row>
    <row r="2" spans="1:19" x14ac:dyDescent="0.3">
      <c r="A2" s="20" t="s">
        <v>42</v>
      </c>
      <c r="B2" s="24">
        <f>'1. key ratios'!B2</f>
        <v>45199</v>
      </c>
    </row>
    <row r="4" spans="1:19" ht="40.5" customHeight="1" thickBot="1" x14ac:dyDescent="0.35">
      <c r="A4" s="270" t="s">
        <v>397</v>
      </c>
      <c r="B4" s="372" t="s">
        <v>398</v>
      </c>
    </row>
    <row r="5" spans="1:19" x14ac:dyDescent="0.3">
      <c r="A5" s="373"/>
      <c r="B5" s="374"/>
      <c r="C5" s="375" t="s">
        <v>297</v>
      </c>
      <c r="D5" s="375" t="s">
        <v>298</v>
      </c>
      <c r="E5" s="375" t="s">
        <v>299</v>
      </c>
      <c r="F5" s="375" t="s">
        <v>399</v>
      </c>
      <c r="G5" s="375" t="s">
        <v>400</v>
      </c>
      <c r="H5" s="375" t="s">
        <v>401</v>
      </c>
      <c r="I5" s="375" t="s">
        <v>402</v>
      </c>
      <c r="J5" s="375" t="s">
        <v>403</v>
      </c>
      <c r="K5" s="375" t="s">
        <v>404</v>
      </c>
      <c r="L5" s="375" t="s">
        <v>405</v>
      </c>
      <c r="M5" s="375" t="s">
        <v>406</v>
      </c>
      <c r="N5" s="375" t="s">
        <v>407</v>
      </c>
      <c r="O5" s="375" t="s">
        <v>408</v>
      </c>
      <c r="P5" s="375" t="s">
        <v>409</v>
      </c>
      <c r="Q5" s="375" t="s">
        <v>410</v>
      </c>
      <c r="R5" s="376" t="s">
        <v>411</v>
      </c>
      <c r="S5" s="377" t="s">
        <v>412</v>
      </c>
    </row>
    <row r="6" spans="1:19" ht="46.5" customHeight="1" x14ac:dyDescent="0.3">
      <c r="A6" s="378"/>
      <c r="B6" s="854" t="s">
        <v>413</v>
      </c>
      <c r="C6" s="850">
        <v>0</v>
      </c>
      <c r="D6" s="851"/>
      <c r="E6" s="850">
        <v>0.2</v>
      </c>
      <c r="F6" s="851"/>
      <c r="G6" s="850">
        <v>0.35</v>
      </c>
      <c r="H6" s="851"/>
      <c r="I6" s="850">
        <v>0.5</v>
      </c>
      <c r="J6" s="851"/>
      <c r="K6" s="850">
        <v>0.75</v>
      </c>
      <c r="L6" s="851"/>
      <c r="M6" s="850">
        <v>1</v>
      </c>
      <c r="N6" s="851"/>
      <c r="O6" s="850">
        <v>1.5</v>
      </c>
      <c r="P6" s="851"/>
      <c r="Q6" s="850">
        <v>2.5</v>
      </c>
      <c r="R6" s="851"/>
      <c r="S6" s="852" t="s">
        <v>414</v>
      </c>
    </row>
    <row r="7" spans="1:19" x14ac:dyDescent="0.3">
      <c r="A7" s="378"/>
      <c r="B7" s="855"/>
      <c r="C7" s="379" t="s">
        <v>415</v>
      </c>
      <c r="D7" s="379" t="s">
        <v>416</v>
      </c>
      <c r="E7" s="379" t="s">
        <v>415</v>
      </c>
      <c r="F7" s="379" t="s">
        <v>416</v>
      </c>
      <c r="G7" s="379" t="s">
        <v>415</v>
      </c>
      <c r="H7" s="379" t="s">
        <v>416</v>
      </c>
      <c r="I7" s="379" t="s">
        <v>415</v>
      </c>
      <c r="J7" s="379" t="s">
        <v>416</v>
      </c>
      <c r="K7" s="379" t="s">
        <v>415</v>
      </c>
      <c r="L7" s="379" t="s">
        <v>416</v>
      </c>
      <c r="M7" s="379" t="s">
        <v>415</v>
      </c>
      <c r="N7" s="379" t="s">
        <v>416</v>
      </c>
      <c r="O7" s="379" t="s">
        <v>415</v>
      </c>
      <c r="P7" s="379" t="s">
        <v>416</v>
      </c>
      <c r="Q7" s="379" t="s">
        <v>415</v>
      </c>
      <c r="R7" s="379" t="s">
        <v>416</v>
      </c>
      <c r="S7" s="853"/>
    </row>
    <row r="8" spans="1:19" x14ac:dyDescent="0.3">
      <c r="A8" s="380">
        <v>1</v>
      </c>
      <c r="B8" s="381" t="s">
        <v>417</v>
      </c>
      <c r="C8" s="382">
        <v>26043239.388959471</v>
      </c>
      <c r="D8" s="382"/>
      <c r="E8" s="382">
        <v>0</v>
      </c>
      <c r="F8" s="383"/>
      <c r="G8" s="382">
        <v>0</v>
      </c>
      <c r="H8" s="382"/>
      <c r="I8" s="382">
        <v>0</v>
      </c>
      <c r="J8" s="382"/>
      <c r="K8" s="382">
        <v>0</v>
      </c>
      <c r="L8" s="382"/>
      <c r="M8" s="382">
        <v>5907688.7400000021</v>
      </c>
      <c r="N8" s="382"/>
      <c r="O8" s="382">
        <v>0</v>
      </c>
      <c r="P8" s="382"/>
      <c r="Q8" s="382">
        <v>0</v>
      </c>
      <c r="R8" s="383"/>
      <c r="S8" s="384">
        <f>$C$6*SUM(C8:D8)+$E$6*SUM(E8:F8)+$G$6*SUM(G8:H8)+$I$6*SUM(I8:J8)+$K$6*SUM(K8:L8)+$M$6*SUM(M8:N8)+$O$6*SUM(O8:P8)+$Q$6*SUM(Q8:R8)</f>
        <v>5907688.7400000021</v>
      </c>
    </row>
    <row r="9" spans="1:19" x14ac:dyDescent="0.3">
      <c r="A9" s="380">
        <v>2</v>
      </c>
      <c r="B9" s="381" t="s">
        <v>418</v>
      </c>
      <c r="C9" s="382">
        <v>0</v>
      </c>
      <c r="D9" s="382"/>
      <c r="E9" s="382">
        <v>0</v>
      </c>
      <c r="F9" s="382"/>
      <c r="G9" s="382">
        <v>0</v>
      </c>
      <c r="H9" s="382"/>
      <c r="I9" s="382">
        <v>0</v>
      </c>
      <c r="J9" s="382"/>
      <c r="K9" s="382">
        <v>0</v>
      </c>
      <c r="L9" s="382"/>
      <c r="M9" s="382">
        <v>0</v>
      </c>
      <c r="N9" s="382"/>
      <c r="O9" s="382">
        <v>0</v>
      </c>
      <c r="P9" s="382"/>
      <c r="Q9" s="382">
        <v>0</v>
      </c>
      <c r="R9" s="383"/>
      <c r="S9" s="384">
        <f t="shared" ref="S9:S21" si="0">$C$6*SUM(C9:D9)+$E$6*SUM(E9:F9)+$G$6*SUM(G9:H9)+$I$6*SUM(I9:J9)+$K$6*SUM(K9:L9)+$M$6*SUM(M9:N9)+$O$6*SUM(O9:P9)+$Q$6*SUM(Q9:R9)</f>
        <v>0</v>
      </c>
    </row>
    <row r="10" spans="1:19" x14ac:dyDescent="0.3">
      <c r="A10" s="380">
        <v>3</v>
      </c>
      <c r="B10" s="381" t="s">
        <v>419</v>
      </c>
      <c r="C10" s="382">
        <v>0</v>
      </c>
      <c r="D10" s="382"/>
      <c r="E10" s="382">
        <v>0</v>
      </c>
      <c r="F10" s="382"/>
      <c r="G10" s="382">
        <v>0</v>
      </c>
      <c r="H10" s="382"/>
      <c r="I10" s="382">
        <v>0</v>
      </c>
      <c r="J10" s="382"/>
      <c r="K10" s="382">
        <v>0</v>
      </c>
      <c r="L10" s="382"/>
      <c r="M10" s="382">
        <v>0</v>
      </c>
      <c r="N10" s="382"/>
      <c r="O10" s="382">
        <v>0</v>
      </c>
      <c r="P10" s="382"/>
      <c r="Q10" s="382">
        <v>0</v>
      </c>
      <c r="R10" s="383"/>
      <c r="S10" s="384">
        <f t="shared" si="0"/>
        <v>0</v>
      </c>
    </row>
    <row r="11" spans="1:19" x14ac:dyDescent="0.3">
      <c r="A11" s="380">
        <v>4</v>
      </c>
      <c r="B11" s="381" t="s">
        <v>420</v>
      </c>
      <c r="C11" s="382">
        <v>0</v>
      </c>
      <c r="D11" s="382"/>
      <c r="E11" s="382">
        <v>0</v>
      </c>
      <c r="F11" s="382"/>
      <c r="G11" s="382">
        <v>0</v>
      </c>
      <c r="H11" s="382"/>
      <c r="I11" s="382">
        <v>0</v>
      </c>
      <c r="J11" s="382"/>
      <c r="K11" s="382">
        <v>0</v>
      </c>
      <c r="L11" s="382"/>
      <c r="M11" s="382">
        <v>0</v>
      </c>
      <c r="N11" s="382"/>
      <c r="O11" s="382">
        <v>0</v>
      </c>
      <c r="P11" s="382"/>
      <c r="Q11" s="382">
        <v>0</v>
      </c>
      <c r="R11" s="383"/>
      <c r="S11" s="384">
        <f t="shared" si="0"/>
        <v>0</v>
      </c>
    </row>
    <row r="12" spans="1:19" x14ac:dyDescent="0.3">
      <c r="A12" s="380">
        <v>5</v>
      </c>
      <c r="B12" s="381" t="s">
        <v>421</v>
      </c>
      <c r="C12" s="382">
        <v>0</v>
      </c>
      <c r="D12" s="382"/>
      <c r="E12" s="382">
        <v>0</v>
      </c>
      <c r="F12" s="382"/>
      <c r="G12" s="382">
        <v>0</v>
      </c>
      <c r="H12" s="382"/>
      <c r="I12" s="382">
        <v>0</v>
      </c>
      <c r="J12" s="382"/>
      <c r="K12" s="382">
        <v>0</v>
      </c>
      <c r="L12" s="382"/>
      <c r="M12" s="382">
        <v>0</v>
      </c>
      <c r="N12" s="382"/>
      <c r="O12" s="382">
        <v>0</v>
      </c>
      <c r="P12" s="382"/>
      <c r="Q12" s="382">
        <v>0</v>
      </c>
      <c r="R12" s="383"/>
      <c r="S12" s="384">
        <f t="shared" si="0"/>
        <v>0</v>
      </c>
    </row>
    <row r="13" spans="1:19" x14ac:dyDescent="0.3">
      <c r="A13" s="380">
        <v>6</v>
      </c>
      <c r="B13" s="381" t="s">
        <v>422</v>
      </c>
      <c r="C13" s="382">
        <v>0</v>
      </c>
      <c r="D13" s="382"/>
      <c r="E13" s="382">
        <v>55512099.469999999</v>
      </c>
      <c r="F13" s="382"/>
      <c r="G13" s="382">
        <v>0</v>
      </c>
      <c r="H13" s="382"/>
      <c r="I13" s="382">
        <v>0</v>
      </c>
      <c r="J13" s="382"/>
      <c r="K13" s="382">
        <v>0</v>
      </c>
      <c r="L13" s="382"/>
      <c r="M13" s="382">
        <v>2100267.9000000283</v>
      </c>
      <c r="N13" s="382"/>
      <c r="O13" s="382">
        <v>0</v>
      </c>
      <c r="P13" s="382"/>
      <c r="Q13" s="382">
        <v>0</v>
      </c>
      <c r="R13" s="383"/>
      <c r="S13" s="384">
        <f t="shared" si="0"/>
        <v>13202687.79400003</v>
      </c>
    </row>
    <row r="14" spans="1:19" x14ac:dyDescent="0.3">
      <c r="A14" s="380">
        <v>7</v>
      </c>
      <c r="B14" s="381" t="s">
        <v>423</v>
      </c>
      <c r="C14" s="382">
        <v>0</v>
      </c>
      <c r="D14" s="382"/>
      <c r="E14" s="382">
        <v>0</v>
      </c>
      <c r="F14" s="382"/>
      <c r="G14" s="382">
        <v>0</v>
      </c>
      <c r="H14" s="382"/>
      <c r="I14" s="382">
        <v>0</v>
      </c>
      <c r="J14" s="382"/>
      <c r="K14" s="382">
        <v>0</v>
      </c>
      <c r="L14" s="382"/>
      <c r="M14" s="382">
        <v>19072875.43</v>
      </c>
      <c r="N14" s="382">
        <v>3817303.0181220695</v>
      </c>
      <c r="O14" s="382">
        <v>0</v>
      </c>
      <c r="P14" s="382"/>
      <c r="Q14" s="382">
        <v>0</v>
      </c>
      <c r="R14" s="383"/>
      <c r="S14" s="384">
        <f t="shared" si="0"/>
        <v>22890178.448122069</v>
      </c>
    </row>
    <row r="15" spans="1:19" x14ac:dyDescent="0.3">
      <c r="A15" s="380">
        <v>8</v>
      </c>
      <c r="B15" s="385" t="s">
        <v>424</v>
      </c>
      <c r="C15" s="382">
        <v>0</v>
      </c>
      <c r="D15" s="382"/>
      <c r="E15" s="382">
        <v>0</v>
      </c>
      <c r="F15" s="382"/>
      <c r="G15" s="382">
        <v>0</v>
      </c>
      <c r="H15" s="382"/>
      <c r="I15" s="382">
        <v>0</v>
      </c>
      <c r="J15" s="382"/>
      <c r="K15" s="382">
        <v>0</v>
      </c>
      <c r="L15" s="382"/>
      <c r="M15" s="382">
        <v>10807980.73</v>
      </c>
      <c r="N15" s="382"/>
      <c r="O15" s="382">
        <v>0</v>
      </c>
      <c r="P15" s="382"/>
      <c r="Q15" s="382">
        <v>0</v>
      </c>
      <c r="R15" s="383"/>
      <c r="S15" s="384">
        <f t="shared" si="0"/>
        <v>10807980.73</v>
      </c>
    </row>
    <row r="16" spans="1:19" x14ac:dyDescent="0.3">
      <c r="A16" s="380">
        <v>9</v>
      </c>
      <c r="B16" s="385" t="s">
        <v>425</v>
      </c>
      <c r="C16" s="382">
        <v>0</v>
      </c>
      <c r="D16" s="382"/>
      <c r="E16" s="382">
        <v>0</v>
      </c>
      <c r="F16" s="382"/>
      <c r="G16" s="382">
        <v>0</v>
      </c>
      <c r="H16" s="382"/>
      <c r="I16" s="382">
        <v>0</v>
      </c>
      <c r="J16" s="382"/>
      <c r="K16" s="382">
        <v>0</v>
      </c>
      <c r="L16" s="382"/>
      <c r="M16" s="382">
        <v>0</v>
      </c>
      <c r="N16" s="382"/>
      <c r="O16" s="382">
        <v>0</v>
      </c>
      <c r="P16" s="382"/>
      <c r="Q16" s="382">
        <v>0</v>
      </c>
      <c r="R16" s="383"/>
      <c r="S16" s="384">
        <f t="shared" si="0"/>
        <v>0</v>
      </c>
    </row>
    <row r="17" spans="1:19" x14ac:dyDescent="0.3">
      <c r="A17" s="380">
        <v>10</v>
      </c>
      <c r="B17" s="385" t="s">
        <v>426</v>
      </c>
      <c r="C17" s="382">
        <v>0</v>
      </c>
      <c r="D17" s="382"/>
      <c r="E17" s="382">
        <v>0</v>
      </c>
      <c r="F17" s="382"/>
      <c r="G17" s="382">
        <v>0</v>
      </c>
      <c r="H17" s="382"/>
      <c r="I17" s="382">
        <v>0</v>
      </c>
      <c r="J17" s="382"/>
      <c r="K17" s="382">
        <v>0</v>
      </c>
      <c r="L17" s="382"/>
      <c r="M17" s="382">
        <v>731982.14</v>
      </c>
      <c r="N17" s="382"/>
      <c r="O17" s="382">
        <v>0</v>
      </c>
      <c r="P17" s="382"/>
      <c r="Q17" s="382">
        <v>0</v>
      </c>
      <c r="R17" s="383"/>
      <c r="S17" s="384">
        <f t="shared" si="0"/>
        <v>731982.14</v>
      </c>
    </row>
    <row r="18" spans="1:19" x14ac:dyDescent="0.3">
      <c r="A18" s="380">
        <v>11</v>
      </c>
      <c r="B18" s="385" t="s">
        <v>427</v>
      </c>
      <c r="C18" s="382">
        <v>0</v>
      </c>
      <c r="D18" s="382"/>
      <c r="E18" s="382">
        <v>0</v>
      </c>
      <c r="F18" s="382"/>
      <c r="G18" s="382">
        <v>0</v>
      </c>
      <c r="H18" s="382"/>
      <c r="I18" s="382">
        <v>0</v>
      </c>
      <c r="J18" s="382"/>
      <c r="K18" s="382">
        <v>0</v>
      </c>
      <c r="L18" s="382"/>
      <c r="M18" s="382">
        <v>0</v>
      </c>
      <c r="N18" s="382"/>
      <c r="O18" s="382">
        <v>0</v>
      </c>
      <c r="P18" s="382"/>
      <c r="Q18" s="382">
        <v>0</v>
      </c>
      <c r="R18" s="383"/>
      <c r="S18" s="384">
        <f t="shared" si="0"/>
        <v>0</v>
      </c>
    </row>
    <row r="19" spans="1:19" x14ac:dyDescent="0.3">
      <c r="A19" s="380">
        <v>12</v>
      </c>
      <c r="B19" s="385" t="s">
        <v>428</v>
      </c>
      <c r="C19" s="382">
        <v>0</v>
      </c>
      <c r="D19" s="382"/>
      <c r="E19" s="382">
        <v>0</v>
      </c>
      <c r="F19" s="382"/>
      <c r="G19" s="382">
        <v>0</v>
      </c>
      <c r="H19" s="382"/>
      <c r="I19" s="382">
        <v>0</v>
      </c>
      <c r="J19" s="382"/>
      <c r="K19" s="382">
        <v>0</v>
      </c>
      <c r="L19" s="382"/>
      <c r="M19" s="382">
        <v>0</v>
      </c>
      <c r="N19" s="382"/>
      <c r="O19" s="382">
        <v>0</v>
      </c>
      <c r="P19" s="382"/>
      <c r="Q19" s="382">
        <v>0</v>
      </c>
      <c r="R19" s="383"/>
      <c r="S19" s="384">
        <f t="shared" si="0"/>
        <v>0</v>
      </c>
    </row>
    <row r="20" spans="1:19" x14ac:dyDescent="0.3">
      <c r="A20" s="380">
        <v>13</v>
      </c>
      <c r="B20" s="385" t="s">
        <v>429</v>
      </c>
      <c r="C20" s="382">
        <v>0</v>
      </c>
      <c r="D20" s="382"/>
      <c r="E20" s="382">
        <v>0</v>
      </c>
      <c r="F20" s="382"/>
      <c r="G20" s="382">
        <v>0</v>
      </c>
      <c r="H20" s="382"/>
      <c r="I20" s="382">
        <v>0</v>
      </c>
      <c r="J20" s="382"/>
      <c r="K20" s="382">
        <v>0</v>
      </c>
      <c r="L20" s="382"/>
      <c r="M20" s="382">
        <v>0</v>
      </c>
      <c r="N20" s="382"/>
      <c r="O20" s="382">
        <v>0</v>
      </c>
      <c r="P20" s="382"/>
      <c r="Q20" s="382">
        <v>0</v>
      </c>
      <c r="R20" s="383"/>
      <c r="S20" s="384">
        <f t="shared" si="0"/>
        <v>0</v>
      </c>
    </row>
    <row r="21" spans="1:19" x14ac:dyDescent="0.3">
      <c r="A21" s="380">
        <v>14</v>
      </c>
      <c r="B21" s="385" t="s">
        <v>430</v>
      </c>
      <c r="C21" s="382">
        <v>2841108</v>
      </c>
      <c r="D21" s="382"/>
      <c r="E21" s="382">
        <v>0</v>
      </c>
      <c r="F21" s="382"/>
      <c r="G21" s="382">
        <v>0</v>
      </c>
      <c r="H21" s="382"/>
      <c r="I21" s="382">
        <v>0</v>
      </c>
      <c r="J21" s="382"/>
      <c r="K21" s="382">
        <v>0</v>
      </c>
      <c r="L21" s="382"/>
      <c r="M21" s="382">
        <v>25959297.441507362</v>
      </c>
      <c r="N21" s="382"/>
      <c r="O21" s="382">
        <v>0</v>
      </c>
      <c r="P21" s="382"/>
      <c r="Q21" s="382">
        <v>0</v>
      </c>
      <c r="R21" s="383"/>
      <c r="S21" s="384">
        <f t="shared" si="0"/>
        <v>25959297.441507362</v>
      </c>
    </row>
    <row r="22" spans="1:19" ht="14.4" thickBot="1" x14ac:dyDescent="0.35">
      <c r="A22" s="386"/>
      <c r="B22" s="387" t="s">
        <v>103</v>
      </c>
      <c r="C22" s="388">
        <f>SUM(C8:C21)</f>
        <v>28884347.388959471</v>
      </c>
      <c r="D22" s="388">
        <f t="shared" ref="D22:S22" si="1">SUM(D8:D21)</f>
        <v>0</v>
      </c>
      <c r="E22" s="388">
        <f t="shared" si="1"/>
        <v>55512099.469999999</v>
      </c>
      <c r="F22" s="388">
        <f t="shared" si="1"/>
        <v>0</v>
      </c>
      <c r="G22" s="388">
        <f t="shared" si="1"/>
        <v>0</v>
      </c>
      <c r="H22" s="388">
        <f t="shared" si="1"/>
        <v>0</v>
      </c>
      <c r="I22" s="388">
        <f t="shared" si="1"/>
        <v>0</v>
      </c>
      <c r="J22" s="388">
        <f t="shared" si="1"/>
        <v>0</v>
      </c>
      <c r="K22" s="388">
        <f t="shared" si="1"/>
        <v>0</v>
      </c>
      <c r="L22" s="388">
        <f t="shared" si="1"/>
        <v>0</v>
      </c>
      <c r="M22" s="388">
        <f t="shared" si="1"/>
        <v>64580092.381507389</v>
      </c>
      <c r="N22" s="388">
        <f t="shared" si="1"/>
        <v>3817303.0181220695</v>
      </c>
      <c r="O22" s="388">
        <f t="shared" si="1"/>
        <v>0</v>
      </c>
      <c r="P22" s="388">
        <f t="shared" si="1"/>
        <v>0</v>
      </c>
      <c r="Q22" s="388">
        <f t="shared" si="1"/>
        <v>0</v>
      </c>
      <c r="R22" s="388">
        <f t="shared" si="1"/>
        <v>0</v>
      </c>
      <c r="S22" s="389">
        <f t="shared" si="1"/>
        <v>79499815.293629467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8AF7-6373-4A49-9734-358AE47BE26C}">
  <dimension ref="A1:V28"/>
  <sheetViews>
    <sheetView workbookViewId="0">
      <pane xSplit="2" ySplit="6" topLeftCell="C7" activePane="bottomRight" state="frozen"/>
      <selection activeCell="C8" sqref="C8"/>
      <selection pane="topRight" activeCell="C8" sqref="C8"/>
      <selection pane="bottomLeft" activeCell="C8" sqref="C8"/>
      <selection pane="bottomRight" activeCell="C8" sqref="C8"/>
    </sheetView>
  </sheetViews>
  <sheetFormatPr defaultColWidth="9.109375" defaultRowHeight="13.8" x14ac:dyDescent="0.3"/>
  <cols>
    <col min="1" max="1" width="10.5546875" style="20" bestFit="1" customWidth="1"/>
    <col min="2" max="2" width="74.5546875" style="20" customWidth="1"/>
    <col min="3" max="3" width="19" style="20" customWidth="1"/>
    <col min="4" max="4" width="19.5546875" style="20" customWidth="1"/>
    <col min="5" max="5" width="31.109375" style="20" customWidth="1"/>
    <col min="6" max="6" width="29.109375" style="20" customWidth="1"/>
    <col min="7" max="7" width="62.109375" style="20" customWidth="1"/>
    <col min="8" max="8" width="26.44140625" style="20" customWidth="1"/>
    <col min="9" max="9" width="23.6640625" style="20" customWidth="1"/>
    <col min="10" max="10" width="21.5546875" style="20" customWidth="1"/>
    <col min="11" max="11" width="15.6640625" style="20" customWidth="1"/>
    <col min="12" max="12" width="13.33203125" style="20" customWidth="1"/>
    <col min="13" max="13" width="20.88671875" style="20" customWidth="1"/>
    <col min="14" max="14" width="19.33203125" style="20" customWidth="1"/>
    <col min="15" max="15" width="18.44140625" style="20" customWidth="1"/>
    <col min="16" max="16" width="19" style="20" customWidth="1"/>
    <col min="17" max="17" width="20.33203125" style="20" customWidth="1"/>
    <col min="18" max="18" width="18" style="20" customWidth="1"/>
    <col min="19" max="19" width="36" style="20" customWidth="1"/>
    <col min="20" max="20" width="19.44140625" style="20" customWidth="1"/>
    <col min="21" max="21" width="19.109375" style="20" customWidth="1"/>
    <col min="22" max="22" width="20" style="20" customWidth="1"/>
    <col min="23" max="16384" width="9.109375" style="181"/>
  </cols>
  <sheetData>
    <row r="1" spans="1:22" x14ac:dyDescent="0.3">
      <c r="A1" s="20" t="s">
        <v>41</v>
      </c>
      <c r="B1" s="20" t="str">
        <f>Info!C2</f>
        <v>სს სილქ ბანკი</v>
      </c>
    </row>
    <row r="2" spans="1:22" x14ac:dyDescent="0.3">
      <c r="A2" s="20" t="s">
        <v>42</v>
      </c>
      <c r="B2" s="24">
        <f>'1. key ratios'!B2</f>
        <v>45199</v>
      </c>
    </row>
    <row r="4" spans="1:22" ht="40.5" customHeight="1" thickBot="1" x14ac:dyDescent="0.35">
      <c r="A4" s="20" t="s">
        <v>431</v>
      </c>
      <c r="B4" s="372" t="s">
        <v>432</v>
      </c>
      <c r="V4" s="332" t="s">
        <v>245</v>
      </c>
    </row>
    <row r="5" spans="1:22" x14ac:dyDescent="0.3">
      <c r="A5" s="390"/>
      <c r="B5" s="391"/>
      <c r="C5" s="856" t="s">
        <v>433</v>
      </c>
      <c r="D5" s="857"/>
      <c r="E5" s="857"/>
      <c r="F5" s="857"/>
      <c r="G5" s="857"/>
      <c r="H5" s="857"/>
      <c r="I5" s="857"/>
      <c r="J5" s="857"/>
      <c r="K5" s="857"/>
      <c r="L5" s="858"/>
      <c r="M5" s="856" t="s">
        <v>434</v>
      </c>
      <c r="N5" s="857"/>
      <c r="O5" s="857"/>
      <c r="P5" s="857"/>
      <c r="Q5" s="857"/>
      <c r="R5" s="857"/>
      <c r="S5" s="858"/>
      <c r="T5" s="859" t="s">
        <v>435</v>
      </c>
      <c r="U5" s="859" t="s">
        <v>436</v>
      </c>
      <c r="V5" s="861" t="s">
        <v>437</v>
      </c>
    </row>
    <row r="6" spans="1:22" s="270" customFormat="1" ht="138" x14ac:dyDescent="0.3">
      <c r="A6" s="255"/>
      <c r="B6" s="392"/>
      <c r="C6" s="393" t="s">
        <v>438</v>
      </c>
      <c r="D6" s="394" t="s">
        <v>439</v>
      </c>
      <c r="E6" s="395" t="s">
        <v>440</v>
      </c>
      <c r="F6" s="395" t="s">
        <v>441</v>
      </c>
      <c r="G6" s="394" t="s">
        <v>442</v>
      </c>
      <c r="H6" s="394" t="s">
        <v>443</v>
      </c>
      <c r="I6" s="394" t="s">
        <v>444</v>
      </c>
      <c r="J6" s="394" t="s">
        <v>445</v>
      </c>
      <c r="K6" s="394" t="s">
        <v>446</v>
      </c>
      <c r="L6" s="396" t="s">
        <v>447</v>
      </c>
      <c r="M6" s="393" t="s">
        <v>448</v>
      </c>
      <c r="N6" s="394" t="s">
        <v>449</v>
      </c>
      <c r="O6" s="394" t="s">
        <v>450</v>
      </c>
      <c r="P6" s="394" t="s">
        <v>451</v>
      </c>
      <c r="Q6" s="394" t="s">
        <v>452</v>
      </c>
      <c r="R6" s="394" t="s">
        <v>453</v>
      </c>
      <c r="S6" s="396" t="s">
        <v>454</v>
      </c>
      <c r="T6" s="860"/>
      <c r="U6" s="860"/>
      <c r="V6" s="862"/>
    </row>
    <row r="7" spans="1:22" x14ac:dyDescent="0.3">
      <c r="A7" s="397">
        <v>1</v>
      </c>
      <c r="B7" s="398" t="s">
        <v>417</v>
      </c>
      <c r="C7" s="399">
        <v>0</v>
      </c>
      <c r="D7" s="382">
        <v>0</v>
      </c>
      <c r="E7" s="382">
        <v>0</v>
      </c>
      <c r="F7" s="382">
        <v>0</v>
      </c>
      <c r="G7" s="382">
        <v>0</v>
      </c>
      <c r="H7" s="382">
        <v>0</v>
      </c>
      <c r="I7" s="382">
        <v>0</v>
      </c>
      <c r="J7" s="382">
        <v>0</v>
      </c>
      <c r="K7" s="382">
        <v>0</v>
      </c>
      <c r="L7" s="400">
        <v>0</v>
      </c>
      <c r="M7" s="399">
        <v>0</v>
      </c>
      <c r="N7" s="382">
        <v>0</v>
      </c>
      <c r="O7" s="382">
        <v>0</v>
      </c>
      <c r="P7" s="382">
        <v>0</v>
      </c>
      <c r="Q7" s="382">
        <v>0</v>
      </c>
      <c r="R7" s="382">
        <v>0</v>
      </c>
      <c r="S7" s="400">
        <v>0</v>
      </c>
      <c r="T7" s="401">
        <v>0</v>
      </c>
      <c r="U7" s="402">
        <v>0</v>
      </c>
      <c r="V7" s="403">
        <f>SUM(C7:U7)</f>
        <v>0</v>
      </c>
    </row>
    <row r="8" spans="1:22" x14ac:dyDescent="0.3">
      <c r="A8" s="397">
        <v>2</v>
      </c>
      <c r="B8" s="398" t="s">
        <v>418</v>
      </c>
      <c r="C8" s="399">
        <v>0</v>
      </c>
      <c r="D8" s="382">
        <v>0</v>
      </c>
      <c r="E8" s="382">
        <v>0</v>
      </c>
      <c r="F8" s="382">
        <v>0</v>
      </c>
      <c r="G8" s="382">
        <v>0</v>
      </c>
      <c r="H8" s="382">
        <v>0</v>
      </c>
      <c r="I8" s="382">
        <v>0</v>
      </c>
      <c r="J8" s="382">
        <v>0</v>
      </c>
      <c r="K8" s="382">
        <v>0</v>
      </c>
      <c r="L8" s="400">
        <v>0</v>
      </c>
      <c r="M8" s="399">
        <v>0</v>
      </c>
      <c r="N8" s="382">
        <v>0</v>
      </c>
      <c r="O8" s="382">
        <v>0</v>
      </c>
      <c r="P8" s="382">
        <v>0</v>
      </c>
      <c r="Q8" s="382">
        <v>0</v>
      </c>
      <c r="R8" s="382">
        <v>0</v>
      </c>
      <c r="S8" s="400">
        <v>0</v>
      </c>
      <c r="T8" s="402">
        <v>0</v>
      </c>
      <c r="U8" s="402">
        <v>0</v>
      </c>
      <c r="V8" s="403">
        <f>SUM(C8:S8)</f>
        <v>0</v>
      </c>
    </row>
    <row r="9" spans="1:22" x14ac:dyDescent="0.3">
      <c r="A9" s="397">
        <v>3</v>
      </c>
      <c r="B9" s="398" t="s">
        <v>419</v>
      </c>
      <c r="C9" s="399">
        <v>0</v>
      </c>
      <c r="D9" s="382">
        <v>0</v>
      </c>
      <c r="E9" s="382">
        <v>0</v>
      </c>
      <c r="F9" s="382">
        <v>0</v>
      </c>
      <c r="G9" s="382">
        <v>0</v>
      </c>
      <c r="H9" s="382">
        <v>0</v>
      </c>
      <c r="I9" s="382">
        <v>0</v>
      </c>
      <c r="J9" s="382">
        <v>0</v>
      </c>
      <c r="K9" s="382">
        <v>0</v>
      </c>
      <c r="L9" s="400">
        <v>0</v>
      </c>
      <c r="M9" s="399">
        <v>0</v>
      </c>
      <c r="N9" s="382">
        <v>0</v>
      </c>
      <c r="O9" s="382">
        <v>0</v>
      </c>
      <c r="P9" s="382">
        <v>0</v>
      </c>
      <c r="Q9" s="382">
        <v>0</v>
      </c>
      <c r="R9" s="382">
        <v>0</v>
      </c>
      <c r="S9" s="400">
        <v>0</v>
      </c>
      <c r="T9" s="402">
        <v>0</v>
      </c>
      <c r="U9" s="402">
        <v>0</v>
      </c>
      <c r="V9" s="403">
        <f t="shared" ref="V9:V20" si="0">SUM(C9:U9)</f>
        <v>0</v>
      </c>
    </row>
    <row r="10" spans="1:22" x14ac:dyDescent="0.3">
      <c r="A10" s="397">
        <v>4</v>
      </c>
      <c r="B10" s="398" t="s">
        <v>420</v>
      </c>
      <c r="C10" s="399">
        <v>0</v>
      </c>
      <c r="D10" s="382">
        <v>0</v>
      </c>
      <c r="E10" s="382">
        <v>0</v>
      </c>
      <c r="F10" s="382">
        <v>0</v>
      </c>
      <c r="G10" s="382">
        <v>0</v>
      </c>
      <c r="H10" s="382">
        <v>0</v>
      </c>
      <c r="I10" s="382">
        <v>0</v>
      </c>
      <c r="J10" s="382">
        <v>0</v>
      </c>
      <c r="K10" s="382">
        <v>0</v>
      </c>
      <c r="L10" s="400">
        <v>0</v>
      </c>
      <c r="M10" s="399">
        <v>0</v>
      </c>
      <c r="N10" s="382">
        <v>0</v>
      </c>
      <c r="O10" s="382">
        <v>0</v>
      </c>
      <c r="P10" s="382">
        <v>0</v>
      </c>
      <c r="Q10" s="382">
        <v>0</v>
      </c>
      <c r="R10" s="382">
        <v>0</v>
      </c>
      <c r="S10" s="400">
        <v>0</v>
      </c>
      <c r="T10" s="402">
        <v>0</v>
      </c>
      <c r="U10" s="402">
        <v>0</v>
      </c>
      <c r="V10" s="403">
        <f t="shared" si="0"/>
        <v>0</v>
      </c>
    </row>
    <row r="11" spans="1:22" x14ac:dyDescent="0.3">
      <c r="A11" s="397">
        <v>5</v>
      </c>
      <c r="B11" s="398" t="s">
        <v>421</v>
      </c>
      <c r="C11" s="399">
        <v>0</v>
      </c>
      <c r="D11" s="382">
        <v>0</v>
      </c>
      <c r="E11" s="382">
        <v>0</v>
      </c>
      <c r="F11" s="382">
        <v>0</v>
      </c>
      <c r="G11" s="382">
        <v>0</v>
      </c>
      <c r="H11" s="382">
        <v>0</v>
      </c>
      <c r="I11" s="382">
        <v>0</v>
      </c>
      <c r="J11" s="382">
        <v>0</v>
      </c>
      <c r="K11" s="382">
        <v>0</v>
      </c>
      <c r="L11" s="400">
        <v>0</v>
      </c>
      <c r="M11" s="399">
        <v>0</v>
      </c>
      <c r="N11" s="382">
        <v>0</v>
      </c>
      <c r="O11" s="382">
        <v>0</v>
      </c>
      <c r="P11" s="382">
        <v>0</v>
      </c>
      <c r="Q11" s="382">
        <v>0</v>
      </c>
      <c r="R11" s="382">
        <v>0</v>
      </c>
      <c r="S11" s="400">
        <v>0</v>
      </c>
      <c r="T11" s="402">
        <v>0</v>
      </c>
      <c r="U11" s="402">
        <v>0</v>
      </c>
      <c r="V11" s="403">
        <f t="shared" si="0"/>
        <v>0</v>
      </c>
    </row>
    <row r="12" spans="1:22" x14ac:dyDescent="0.3">
      <c r="A12" s="397">
        <v>6</v>
      </c>
      <c r="B12" s="398" t="s">
        <v>422</v>
      </c>
      <c r="C12" s="399">
        <v>0</v>
      </c>
      <c r="D12" s="382">
        <v>0</v>
      </c>
      <c r="E12" s="382">
        <v>0</v>
      </c>
      <c r="F12" s="382">
        <v>0</v>
      </c>
      <c r="G12" s="382">
        <v>0</v>
      </c>
      <c r="H12" s="382">
        <v>0</v>
      </c>
      <c r="I12" s="382">
        <v>0</v>
      </c>
      <c r="J12" s="382">
        <v>0</v>
      </c>
      <c r="K12" s="382">
        <v>0</v>
      </c>
      <c r="L12" s="400">
        <v>0</v>
      </c>
      <c r="M12" s="399">
        <v>0</v>
      </c>
      <c r="N12" s="382">
        <v>0</v>
      </c>
      <c r="O12" s="382">
        <v>0</v>
      </c>
      <c r="P12" s="382">
        <v>0</v>
      </c>
      <c r="Q12" s="382">
        <v>0</v>
      </c>
      <c r="R12" s="382">
        <v>0</v>
      </c>
      <c r="S12" s="400">
        <v>0</v>
      </c>
      <c r="T12" s="402">
        <v>0</v>
      </c>
      <c r="U12" s="402">
        <v>0</v>
      </c>
      <c r="V12" s="403">
        <f t="shared" si="0"/>
        <v>0</v>
      </c>
    </row>
    <row r="13" spans="1:22" x14ac:dyDescent="0.3">
      <c r="A13" s="397">
        <v>7</v>
      </c>
      <c r="B13" s="398" t="s">
        <v>423</v>
      </c>
      <c r="C13" s="399">
        <v>0</v>
      </c>
      <c r="D13" s="382">
        <v>0</v>
      </c>
      <c r="E13" s="382">
        <v>0</v>
      </c>
      <c r="F13" s="382">
        <v>0</v>
      </c>
      <c r="G13" s="382">
        <v>0</v>
      </c>
      <c r="H13" s="382">
        <v>0</v>
      </c>
      <c r="I13" s="382">
        <v>0</v>
      </c>
      <c r="J13" s="382">
        <v>0</v>
      </c>
      <c r="K13" s="382">
        <v>0</v>
      </c>
      <c r="L13" s="400">
        <v>0</v>
      </c>
      <c r="M13" s="399">
        <v>0</v>
      </c>
      <c r="N13" s="382">
        <v>0</v>
      </c>
      <c r="O13" s="382">
        <v>0</v>
      </c>
      <c r="P13" s="382">
        <v>0</v>
      </c>
      <c r="Q13" s="382">
        <v>0</v>
      </c>
      <c r="R13" s="382">
        <v>0</v>
      </c>
      <c r="S13" s="400">
        <v>0</v>
      </c>
      <c r="T13" s="402">
        <v>0</v>
      </c>
      <c r="U13" s="402">
        <v>0</v>
      </c>
      <c r="V13" s="403">
        <f t="shared" si="0"/>
        <v>0</v>
      </c>
    </row>
    <row r="14" spans="1:22" x14ac:dyDescent="0.3">
      <c r="A14" s="397">
        <v>8</v>
      </c>
      <c r="B14" s="398" t="s">
        <v>424</v>
      </c>
      <c r="C14" s="399">
        <v>0</v>
      </c>
      <c r="D14" s="382">
        <v>0</v>
      </c>
      <c r="E14" s="382">
        <v>0</v>
      </c>
      <c r="F14" s="382">
        <v>0</v>
      </c>
      <c r="G14" s="382">
        <v>0</v>
      </c>
      <c r="H14" s="382">
        <v>0</v>
      </c>
      <c r="I14" s="382">
        <v>0</v>
      </c>
      <c r="J14" s="382">
        <v>0</v>
      </c>
      <c r="K14" s="382">
        <v>0</v>
      </c>
      <c r="L14" s="400">
        <v>0</v>
      </c>
      <c r="M14" s="399">
        <v>0</v>
      </c>
      <c r="N14" s="382">
        <v>0</v>
      </c>
      <c r="O14" s="382">
        <v>0</v>
      </c>
      <c r="P14" s="382">
        <v>0</v>
      </c>
      <c r="Q14" s="382">
        <v>0</v>
      </c>
      <c r="R14" s="382">
        <v>0</v>
      </c>
      <c r="S14" s="400">
        <v>0</v>
      </c>
      <c r="T14" s="402">
        <v>0</v>
      </c>
      <c r="U14" s="402">
        <v>0</v>
      </c>
      <c r="V14" s="403">
        <f t="shared" si="0"/>
        <v>0</v>
      </c>
    </row>
    <row r="15" spans="1:22" x14ac:dyDescent="0.3">
      <c r="A15" s="397">
        <v>9</v>
      </c>
      <c r="B15" s="398" t="s">
        <v>425</v>
      </c>
      <c r="C15" s="399">
        <v>0</v>
      </c>
      <c r="D15" s="382">
        <v>0</v>
      </c>
      <c r="E15" s="382">
        <v>0</v>
      </c>
      <c r="F15" s="382">
        <v>0</v>
      </c>
      <c r="G15" s="382">
        <v>0</v>
      </c>
      <c r="H15" s="382">
        <v>0</v>
      </c>
      <c r="I15" s="382">
        <v>0</v>
      </c>
      <c r="J15" s="382">
        <v>0</v>
      </c>
      <c r="K15" s="382">
        <v>0</v>
      </c>
      <c r="L15" s="400">
        <v>0</v>
      </c>
      <c r="M15" s="399">
        <v>0</v>
      </c>
      <c r="N15" s="382">
        <v>0</v>
      </c>
      <c r="O15" s="382">
        <v>0</v>
      </c>
      <c r="P15" s="382">
        <v>0</v>
      </c>
      <c r="Q15" s="382">
        <v>0</v>
      </c>
      <c r="R15" s="382">
        <v>0</v>
      </c>
      <c r="S15" s="400">
        <v>0</v>
      </c>
      <c r="T15" s="402">
        <v>0</v>
      </c>
      <c r="U15" s="402">
        <v>0</v>
      </c>
      <c r="V15" s="403">
        <f t="shared" si="0"/>
        <v>0</v>
      </c>
    </row>
    <row r="16" spans="1:22" x14ac:dyDescent="0.3">
      <c r="A16" s="397">
        <v>10</v>
      </c>
      <c r="B16" s="398" t="s">
        <v>426</v>
      </c>
      <c r="C16" s="399">
        <v>0</v>
      </c>
      <c r="D16" s="382">
        <v>0</v>
      </c>
      <c r="E16" s="382">
        <v>0</v>
      </c>
      <c r="F16" s="382">
        <v>0</v>
      </c>
      <c r="G16" s="382">
        <v>0</v>
      </c>
      <c r="H16" s="382">
        <v>0</v>
      </c>
      <c r="I16" s="382">
        <v>0</v>
      </c>
      <c r="J16" s="382">
        <v>0</v>
      </c>
      <c r="K16" s="382">
        <v>0</v>
      </c>
      <c r="L16" s="400">
        <v>0</v>
      </c>
      <c r="M16" s="399">
        <v>0</v>
      </c>
      <c r="N16" s="382">
        <v>0</v>
      </c>
      <c r="O16" s="382">
        <v>0</v>
      </c>
      <c r="P16" s="382">
        <v>0</v>
      </c>
      <c r="Q16" s="382">
        <v>0</v>
      </c>
      <c r="R16" s="382">
        <v>0</v>
      </c>
      <c r="S16" s="400">
        <v>0</v>
      </c>
      <c r="T16" s="402">
        <v>0</v>
      </c>
      <c r="U16" s="402">
        <v>0</v>
      </c>
      <c r="V16" s="403">
        <f t="shared" si="0"/>
        <v>0</v>
      </c>
    </row>
    <row r="17" spans="1:22" x14ac:dyDescent="0.3">
      <c r="A17" s="397">
        <v>11</v>
      </c>
      <c r="B17" s="398" t="s">
        <v>427</v>
      </c>
      <c r="C17" s="399">
        <v>0</v>
      </c>
      <c r="D17" s="382">
        <v>0</v>
      </c>
      <c r="E17" s="382">
        <v>0</v>
      </c>
      <c r="F17" s="382">
        <v>0</v>
      </c>
      <c r="G17" s="382">
        <v>0</v>
      </c>
      <c r="H17" s="382">
        <v>0</v>
      </c>
      <c r="I17" s="382">
        <v>0</v>
      </c>
      <c r="J17" s="382">
        <v>0</v>
      </c>
      <c r="K17" s="382">
        <v>0</v>
      </c>
      <c r="L17" s="400">
        <v>0</v>
      </c>
      <c r="M17" s="399">
        <v>0</v>
      </c>
      <c r="N17" s="382">
        <v>0</v>
      </c>
      <c r="O17" s="382">
        <v>0</v>
      </c>
      <c r="P17" s="382">
        <v>0</v>
      </c>
      <c r="Q17" s="382">
        <v>0</v>
      </c>
      <c r="R17" s="382">
        <v>0</v>
      </c>
      <c r="S17" s="400">
        <v>0</v>
      </c>
      <c r="T17" s="402">
        <v>0</v>
      </c>
      <c r="U17" s="402">
        <v>0</v>
      </c>
      <c r="V17" s="403">
        <f t="shared" si="0"/>
        <v>0</v>
      </c>
    </row>
    <row r="18" spans="1:22" x14ac:dyDescent="0.3">
      <c r="A18" s="397">
        <v>12</v>
      </c>
      <c r="B18" s="398" t="s">
        <v>428</v>
      </c>
      <c r="C18" s="399">
        <v>0</v>
      </c>
      <c r="D18" s="382">
        <v>0</v>
      </c>
      <c r="E18" s="382">
        <v>0</v>
      </c>
      <c r="F18" s="382">
        <v>0</v>
      </c>
      <c r="G18" s="382">
        <v>0</v>
      </c>
      <c r="H18" s="382">
        <v>0</v>
      </c>
      <c r="I18" s="382">
        <v>0</v>
      </c>
      <c r="J18" s="382">
        <v>0</v>
      </c>
      <c r="K18" s="382">
        <v>0</v>
      </c>
      <c r="L18" s="400">
        <v>0</v>
      </c>
      <c r="M18" s="399">
        <v>0</v>
      </c>
      <c r="N18" s="382">
        <v>0</v>
      </c>
      <c r="O18" s="382">
        <v>0</v>
      </c>
      <c r="P18" s="382">
        <v>0</v>
      </c>
      <c r="Q18" s="382">
        <v>0</v>
      </c>
      <c r="R18" s="382">
        <v>0</v>
      </c>
      <c r="S18" s="400">
        <v>0</v>
      </c>
      <c r="T18" s="402">
        <v>0</v>
      </c>
      <c r="U18" s="402">
        <v>0</v>
      </c>
      <c r="V18" s="403">
        <f t="shared" si="0"/>
        <v>0</v>
      </c>
    </row>
    <row r="19" spans="1:22" x14ac:dyDescent="0.3">
      <c r="A19" s="397">
        <v>13</v>
      </c>
      <c r="B19" s="398" t="s">
        <v>429</v>
      </c>
      <c r="C19" s="399">
        <v>0</v>
      </c>
      <c r="D19" s="382">
        <v>0</v>
      </c>
      <c r="E19" s="382">
        <v>0</v>
      </c>
      <c r="F19" s="382">
        <v>0</v>
      </c>
      <c r="G19" s="382">
        <v>0</v>
      </c>
      <c r="H19" s="382">
        <v>0</v>
      </c>
      <c r="I19" s="382">
        <v>0</v>
      </c>
      <c r="J19" s="382">
        <v>0</v>
      </c>
      <c r="K19" s="382">
        <v>0</v>
      </c>
      <c r="L19" s="400">
        <v>0</v>
      </c>
      <c r="M19" s="399">
        <v>0</v>
      </c>
      <c r="N19" s="382">
        <v>0</v>
      </c>
      <c r="O19" s="382">
        <v>0</v>
      </c>
      <c r="P19" s="382">
        <v>0</v>
      </c>
      <c r="Q19" s="382">
        <v>0</v>
      </c>
      <c r="R19" s="382">
        <v>0</v>
      </c>
      <c r="S19" s="400">
        <v>0</v>
      </c>
      <c r="T19" s="402">
        <v>0</v>
      </c>
      <c r="U19" s="402">
        <v>0</v>
      </c>
      <c r="V19" s="403">
        <f t="shared" si="0"/>
        <v>0</v>
      </c>
    </row>
    <row r="20" spans="1:22" x14ac:dyDescent="0.3">
      <c r="A20" s="397">
        <v>14</v>
      </c>
      <c r="B20" s="398" t="s">
        <v>430</v>
      </c>
      <c r="C20" s="399">
        <v>0</v>
      </c>
      <c r="D20" s="382">
        <v>0</v>
      </c>
      <c r="E20" s="382">
        <v>0</v>
      </c>
      <c r="F20" s="382">
        <v>0</v>
      </c>
      <c r="G20" s="382">
        <v>0</v>
      </c>
      <c r="H20" s="382">
        <v>0</v>
      </c>
      <c r="I20" s="382">
        <v>0</v>
      </c>
      <c r="J20" s="382">
        <v>0</v>
      </c>
      <c r="K20" s="382">
        <v>0</v>
      </c>
      <c r="L20" s="400">
        <v>0</v>
      </c>
      <c r="M20" s="399">
        <v>0</v>
      </c>
      <c r="N20" s="382">
        <v>0</v>
      </c>
      <c r="O20" s="382">
        <v>0</v>
      </c>
      <c r="P20" s="382">
        <v>0</v>
      </c>
      <c r="Q20" s="382">
        <v>0</v>
      </c>
      <c r="R20" s="382">
        <v>0</v>
      </c>
      <c r="S20" s="400">
        <v>0</v>
      </c>
      <c r="T20" s="402">
        <v>0</v>
      </c>
      <c r="U20" s="402">
        <v>0</v>
      </c>
      <c r="V20" s="403">
        <f t="shared" si="0"/>
        <v>0</v>
      </c>
    </row>
    <row r="21" spans="1:22" ht="14.4" thickBot="1" x14ac:dyDescent="0.35">
      <c r="A21" s="386"/>
      <c r="B21" s="404" t="s">
        <v>103</v>
      </c>
      <c r="C21" s="405">
        <f>SUM(C7:C20)</f>
        <v>0</v>
      </c>
      <c r="D21" s="388">
        <f t="shared" ref="D21:V21" si="1">SUM(D7:D20)</f>
        <v>0</v>
      </c>
      <c r="E21" s="388">
        <f t="shared" si="1"/>
        <v>0</v>
      </c>
      <c r="F21" s="388">
        <f t="shared" si="1"/>
        <v>0</v>
      </c>
      <c r="G21" s="388">
        <f t="shared" si="1"/>
        <v>0</v>
      </c>
      <c r="H21" s="388">
        <f t="shared" si="1"/>
        <v>0</v>
      </c>
      <c r="I21" s="388">
        <f t="shared" si="1"/>
        <v>0</v>
      </c>
      <c r="J21" s="388">
        <f t="shared" si="1"/>
        <v>0</v>
      </c>
      <c r="K21" s="388">
        <f t="shared" si="1"/>
        <v>0</v>
      </c>
      <c r="L21" s="406">
        <f t="shared" si="1"/>
        <v>0</v>
      </c>
      <c r="M21" s="405">
        <f t="shared" si="1"/>
        <v>0</v>
      </c>
      <c r="N21" s="388">
        <f t="shared" si="1"/>
        <v>0</v>
      </c>
      <c r="O21" s="388">
        <f t="shared" si="1"/>
        <v>0</v>
      </c>
      <c r="P21" s="388">
        <f t="shared" si="1"/>
        <v>0</v>
      </c>
      <c r="Q21" s="388">
        <f t="shared" si="1"/>
        <v>0</v>
      </c>
      <c r="R21" s="388">
        <f t="shared" si="1"/>
        <v>0</v>
      </c>
      <c r="S21" s="406">
        <f t="shared" si="1"/>
        <v>0</v>
      </c>
      <c r="T21" s="406">
        <f>SUM(T7:T20)</f>
        <v>0</v>
      </c>
      <c r="U21" s="406">
        <f t="shared" si="1"/>
        <v>0</v>
      </c>
      <c r="V21" s="407">
        <f t="shared" si="1"/>
        <v>0</v>
      </c>
    </row>
    <row r="22" spans="1:22" x14ac:dyDescent="0.3">
      <c r="B22" s="203"/>
    </row>
    <row r="24" spans="1:22" x14ac:dyDescent="0.3">
      <c r="C24" s="408"/>
      <c r="D24" s="408"/>
      <c r="E24" s="408"/>
    </row>
    <row r="25" spans="1:22" x14ac:dyDescent="0.3">
      <c r="A25" s="250"/>
      <c r="B25" s="250"/>
      <c r="D25" s="408"/>
      <c r="E25" s="408"/>
    </row>
    <row r="26" spans="1:22" x14ac:dyDescent="0.3">
      <c r="A26" s="250"/>
      <c r="B26" s="409"/>
      <c r="D26" s="408"/>
      <c r="E26" s="408"/>
    </row>
    <row r="27" spans="1:22" x14ac:dyDescent="0.3">
      <c r="A27" s="250"/>
      <c r="B27" s="250"/>
      <c r="D27" s="408"/>
      <c r="E27" s="408"/>
    </row>
    <row r="28" spans="1:22" x14ac:dyDescent="0.3">
      <c r="A28" s="250"/>
      <c r="B28" s="409"/>
      <c r="D28" s="408"/>
      <c r="E28" s="408"/>
    </row>
  </sheetData>
  <mergeCells count="5">
    <mergeCell ref="C5:L5"/>
    <mergeCell ref="M5:S5"/>
    <mergeCell ref="T5:T6"/>
    <mergeCell ref="U5:U6"/>
    <mergeCell ref="V5:V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B46E-5C80-44E8-B84C-7382FA6C3642}">
  <dimension ref="A1:I28"/>
  <sheetViews>
    <sheetView zoomScaleNormal="100" workbookViewId="0">
      <pane xSplit="1" ySplit="7" topLeftCell="B8" activePane="bottomRight" state="frozen"/>
      <selection activeCell="C8" sqref="C8"/>
      <selection pane="topRight" activeCell="C8" sqref="C8"/>
      <selection pane="bottomLeft" activeCell="C8" sqref="C8"/>
      <selection pane="bottomRight" activeCell="L14" sqref="L14"/>
    </sheetView>
  </sheetViews>
  <sheetFormatPr defaultColWidth="9.109375" defaultRowHeight="13.8" x14ac:dyDescent="0.3"/>
  <cols>
    <col min="1" max="1" width="10.5546875" style="20" bestFit="1" customWidth="1"/>
    <col min="2" max="2" width="101.88671875" style="20" customWidth="1"/>
    <col min="3" max="3" width="13.6640625" style="20" customWidth="1"/>
    <col min="4" max="4" width="14.88671875" style="20" bestFit="1" customWidth="1"/>
    <col min="5" max="5" width="17.6640625" style="20" customWidth="1"/>
    <col min="6" max="6" width="15.88671875" style="20" customWidth="1"/>
    <col min="7" max="7" width="22.88671875" style="20" customWidth="1"/>
    <col min="8" max="8" width="15.33203125" style="20" customWidth="1"/>
    <col min="9" max="16384" width="9.109375" style="181"/>
  </cols>
  <sheetData>
    <row r="1" spans="1:9" x14ac:dyDescent="0.3">
      <c r="A1" s="20" t="s">
        <v>41</v>
      </c>
      <c r="B1" s="20" t="str">
        <f>Info!C2</f>
        <v>სს სილქ ბანკი</v>
      </c>
    </row>
    <row r="2" spans="1:9" x14ac:dyDescent="0.3">
      <c r="A2" s="20" t="s">
        <v>42</v>
      </c>
      <c r="B2" s="24">
        <f>'1. key ratios'!B2</f>
        <v>45199</v>
      </c>
    </row>
    <row r="4" spans="1:9" ht="40.5" customHeight="1" thickBot="1" x14ac:dyDescent="0.35">
      <c r="A4" s="20" t="s">
        <v>455</v>
      </c>
      <c r="B4" s="272" t="s">
        <v>456</v>
      </c>
    </row>
    <row r="5" spans="1:9" x14ac:dyDescent="0.3">
      <c r="A5" s="390"/>
      <c r="B5" s="410"/>
      <c r="C5" s="411" t="s">
        <v>297</v>
      </c>
      <c r="D5" s="411" t="s">
        <v>298</v>
      </c>
      <c r="E5" s="411" t="s">
        <v>299</v>
      </c>
      <c r="F5" s="411" t="s">
        <v>399</v>
      </c>
      <c r="G5" s="412" t="s">
        <v>400</v>
      </c>
      <c r="H5" s="413" t="s">
        <v>401</v>
      </c>
      <c r="I5" s="414"/>
    </row>
    <row r="6" spans="1:9" ht="15" customHeight="1" x14ac:dyDescent="0.3">
      <c r="A6" s="378"/>
      <c r="B6" s="415"/>
      <c r="C6" s="854" t="s">
        <v>457</v>
      </c>
      <c r="D6" s="863" t="s">
        <v>458</v>
      </c>
      <c r="E6" s="864"/>
      <c r="F6" s="854" t="s">
        <v>459</v>
      </c>
      <c r="G6" s="854" t="s">
        <v>460</v>
      </c>
      <c r="H6" s="865" t="s">
        <v>461</v>
      </c>
      <c r="I6" s="414"/>
    </row>
    <row r="7" spans="1:9" ht="69" x14ac:dyDescent="0.3">
      <c r="A7" s="378"/>
      <c r="B7" s="415"/>
      <c r="C7" s="855"/>
      <c r="D7" s="239" t="s">
        <v>462</v>
      </c>
      <c r="E7" s="239" t="s">
        <v>463</v>
      </c>
      <c r="F7" s="855"/>
      <c r="G7" s="855"/>
      <c r="H7" s="866"/>
      <c r="I7" s="414"/>
    </row>
    <row r="8" spans="1:9" x14ac:dyDescent="0.3">
      <c r="A8" s="416">
        <v>1</v>
      </c>
      <c r="B8" s="286" t="s">
        <v>417</v>
      </c>
      <c r="C8" s="382">
        <v>31950928.128959473</v>
      </c>
      <c r="D8" s="382"/>
      <c r="E8" s="382"/>
      <c r="F8" s="382">
        <v>5907688.7400000021</v>
      </c>
      <c r="G8" s="383">
        <v>5907688.7400000021</v>
      </c>
      <c r="H8" s="417">
        <f>G8/(C8+E8)</f>
        <v>0.18489881471222208</v>
      </c>
    </row>
    <row r="9" spans="1:9" ht="15" customHeight="1" x14ac:dyDescent="0.3">
      <c r="A9" s="416">
        <v>2</v>
      </c>
      <c r="B9" s="286" t="s">
        <v>418</v>
      </c>
      <c r="C9" s="382">
        <v>0</v>
      </c>
      <c r="D9" s="382"/>
      <c r="E9" s="382"/>
      <c r="F9" s="382">
        <v>0</v>
      </c>
      <c r="G9" s="383">
        <v>0</v>
      </c>
      <c r="H9" s="417" t="e">
        <f t="shared" ref="H9:H21" si="0">G9/(C9+E9)</f>
        <v>#DIV/0!</v>
      </c>
    </row>
    <row r="10" spans="1:9" x14ac:dyDescent="0.3">
      <c r="A10" s="416">
        <v>3</v>
      </c>
      <c r="B10" s="286" t="s">
        <v>419</v>
      </c>
      <c r="C10" s="382">
        <v>0</v>
      </c>
      <c r="D10" s="382"/>
      <c r="E10" s="382"/>
      <c r="F10" s="382">
        <v>0</v>
      </c>
      <c r="G10" s="383">
        <v>0</v>
      </c>
      <c r="H10" s="417" t="e">
        <f t="shared" si="0"/>
        <v>#DIV/0!</v>
      </c>
    </row>
    <row r="11" spans="1:9" x14ac:dyDescent="0.3">
      <c r="A11" s="416">
        <v>4</v>
      </c>
      <c r="B11" s="286" t="s">
        <v>420</v>
      </c>
      <c r="C11" s="382">
        <v>0</v>
      </c>
      <c r="D11" s="382"/>
      <c r="E11" s="382"/>
      <c r="F11" s="382">
        <v>0</v>
      </c>
      <c r="G11" s="383">
        <v>0</v>
      </c>
      <c r="H11" s="417" t="e">
        <f t="shared" si="0"/>
        <v>#DIV/0!</v>
      </c>
    </row>
    <row r="12" spans="1:9" x14ac:dyDescent="0.3">
      <c r="A12" s="416">
        <v>5</v>
      </c>
      <c r="B12" s="286" t="s">
        <v>421</v>
      </c>
      <c r="C12" s="382">
        <v>0</v>
      </c>
      <c r="D12" s="382"/>
      <c r="E12" s="382"/>
      <c r="F12" s="382">
        <v>0</v>
      </c>
      <c r="G12" s="383">
        <v>0</v>
      </c>
      <c r="H12" s="417" t="e">
        <f t="shared" si="0"/>
        <v>#DIV/0!</v>
      </c>
    </row>
    <row r="13" spans="1:9" x14ac:dyDescent="0.3">
      <c r="A13" s="416">
        <v>6</v>
      </c>
      <c r="B13" s="286" t="s">
        <v>422</v>
      </c>
      <c r="C13" s="382">
        <v>57612367.370000027</v>
      </c>
      <c r="D13" s="382"/>
      <c r="E13" s="382"/>
      <c r="F13" s="382">
        <v>13202687.79400003</v>
      </c>
      <c r="G13" s="383">
        <v>13202687.79400003</v>
      </c>
      <c r="H13" s="417">
        <f t="shared" si="0"/>
        <v>0.22916412563311792</v>
      </c>
    </row>
    <row r="14" spans="1:9" x14ac:dyDescent="0.3">
      <c r="A14" s="416">
        <v>7</v>
      </c>
      <c r="B14" s="286" t="s">
        <v>423</v>
      </c>
      <c r="C14" s="382">
        <v>19072875.43</v>
      </c>
      <c r="D14" s="382">
        <v>6787249.438979134</v>
      </c>
      <c r="E14" s="382">
        <v>3817303.0181220695</v>
      </c>
      <c r="F14" s="382">
        <v>19072875.43</v>
      </c>
      <c r="G14" s="383">
        <v>19072875.43</v>
      </c>
      <c r="H14" s="417">
        <f>G14/(C14+E14)</f>
        <v>0.83323402101152055</v>
      </c>
    </row>
    <row r="15" spans="1:9" x14ac:dyDescent="0.3">
      <c r="A15" s="416">
        <v>8</v>
      </c>
      <c r="B15" s="286" t="s">
        <v>424</v>
      </c>
      <c r="C15" s="382">
        <v>10807980.73</v>
      </c>
      <c r="D15" s="382"/>
      <c r="E15" s="382"/>
      <c r="F15" s="382">
        <v>10807980.73</v>
      </c>
      <c r="G15" s="383">
        <v>10807980.73</v>
      </c>
      <c r="H15" s="417">
        <f t="shared" si="0"/>
        <v>1</v>
      </c>
    </row>
    <row r="16" spans="1:9" x14ac:dyDescent="0.3">
      <c r="A16" s="416">
        <v>9</v>
      </c>
      <c r="B16" s="286" t="s">
        <v>425</v>
      </c>
      <c r="C16" s="382">
        <v>0</v>
      </c>
      <c r="D16" s="382"/>
      <c r="E16" s="382"/>
      <c r="F16" s="382">
        <v>0</v>
      </c>
      <c r="G16" s="383">
        <v>0</v>
      </c>
      <c r="H16" s="417" t="e">
        <f t="shared" si="0"/>
        <v>#DIV/0!</v>
      </c>
    </row>
    <row r="17" spans="1:8" x14ac:dyDescent="0.3">
      <c r="A17" s="416">
        <v>10</v>
      </c>
      <c r="B17" s="286" t="s">
        <v>426</v>
      </c>
      <c r="C17" s="382">
        <v>731982.14</v>
      </c>
      <c r="D17" s="382"/>
      <c r="E17" s="382"/>
      <c r="F17" s="382">
        <v>731982.14</v>
      </c>
      <c r="G17" s="383">
        <v>731982.14</v>
      </c>
      <c r="H17" s="417">
        <f t="shared" si="0"/>
        <v>1</v>
      </c>
    </row>
    <row r="18" spans="1:8" x14ac:dyDescent="0.3">
      <c r="A18" s="416">
        <v>11</v>
      </c>
      <c r="B18" s="286" t="s">
        <v>427</v>
      </c>
      <c r="C18" s="382">
        <v>0</v>
      </c>
      <c r="D18" s="382"/>
      <c r="E18" s="382"/>
      <c r="F18" s="382">
        <v>0</v>
      </c>
      <c r="G18" s="383">
        <v>0</v>
      </c>
      <c r="H18" s="417" t="e">
        <f t="shared" si="0"/>
        <v>#DIV/0!</v>
      </c>
    </row>
    <row r="19" spans="1:8" x14ac:dyDescent="0.3">
      <c r="A19" s="416">
        <v>12</v>
      </c>
      <c r="B19" s="286" t="s">
        <v>428</v>
      </c>
      <c r="C19" s="382">
        <v>0</v>
      </c>
      <c r="D19" s="382"/>
      <c r="E19" s="382"/>
      <c r="F19" s="382">
        <v>0</v>
      </c>
      <c r="G19" s="383">
        <v>0</v>
      </c>
      <c r="H19" s="417" t="e">
        <f t="shared" si="0"/>
        <v>#DIV/0!</v>
      </c>
    </row>
    <row r="20" spans="1:8" x14ac:dyDescent="0.3">
      <c r="A20" s="416">
        <v>13</v>
      </c>
      <c r="B20" s="286" t="s">
        <v>429</v>
      </c>
      <c r="C20" s="382">
        <v>0</v>
      </c>
      <c r="D20" s="382"/>
      <c r="E20" s="382"/>
      <c r="F20" s="382">
        <v>0</v>
      </c>
      <c r="G20" s="383">
        <v>0</v>
      </c>
      <c r="H20" s="417" t="e">
        <f t="shared" si="0"/>
        <v>#DIV/0!</v>
      </c>
    </row>
    <row r="21" spans="1:8" x14ac:dyDescent="0.3">
      <c r="A21" s="416">
        <v>14</v>
      </c>
      <c r="B21" s="286" t="s">
        <v>430</v>
      </c>
      <c r="C21" s="382">
        <v>28800405.441507362</v>
      </c>
      <c r="D21" s="382"/>
      <c r="E21" s="382"/>
      <c r="F21" s="382">
        <v>25959297.441507362</v>
      </c>
      <c r="G21" s="383">
        <v>25959297.441507362</v>
      </c>
      <c r="H21" s="417">
        <f t="shared" si="0"/>
        <v>0.90135180541919124</v>
      </c>
    </row>
    <row r="22" spans="1:8" ht="14.4" thickBot="1" x14ac:dyDescent="0.35">
      <c r="A22" s="418"/>
      <c r="B22" s="419" t="s">
        <v>103</v>
      </c>
      <c r="C22" s="388">
        <f>SUM(C8:C21)</f>
        <v>148976539.24046686</v>
      </c>
      <c r="D22" s="388">
        <f>SUM(D8:D21)</f>
        <v>6787249.438979134</v>
      </c>
      <c r="E22" s="388">
        <f>SUM(E8:E21)</f>
        <v>3817303.0181220695</v>
      </c>
      <c r="F22" s="388">
        <f>SUM(F8:F21)</f>
        <v>75682512.27550739</v>
      </c>
      <c r="G22" s="388">
        <f>SUM(G8:G21)</f>
        <v>75682512.27550739</v>
      </c>
      <c r="H22" s="420">
        <f>G22/(C22+E22)</f>
        <v>0.49532436096097371</v>
      </c>
    </row>
    <row r="24" spans="1:8" x14ac:dyDescent="0.3">
      <c r="C24" s="776"/>
      <c r="D24" s="776"/>
      <c r="E24" s="776"/>
      <c r="F24" s="776"/>
      <c r="G24" s="776"/>
    </row>
    <row r="28" spans="1:8" ht="10.5" customHeight="1" x14ac:dyDescent="0.3"/>
  </sheetData>
  <mergeCells count="5">
    <mergeCell ref="C6:C7"/>
    <mergeCell ref="D6:E6"/>
    <mergeCell ref="F6:F7"/>
    <mergeCell ref="G6:G7"/>
    <mergeCell ref="H6:H7"/>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57E4-1594-4B91-86E6-CF604485E00F}">
  <dimension ref="A1:K29"/>
  <sheetViews>
    <sheetView zoomScale="85" zoomScaleNormal="85" workbookViewId="0">
      <pane xSplit="2" ySplit="6" topLeftCell="C7" activePane="bottomRight" state="frozen"/>
      <selection activeCell="C8" sqref="C8"/>
      <selection pane="topRight" activeCell="C8" sqref="C8"/>
      <selection pane="bottomLeft" activeCell="C8" sqref="C8"/>
      <selection pane="bottomRight" activeCell="H28" sqref="H28"/>
    </sheetView>
  </sheetViews>
  <sheetFormatPr defaultColWidth="9.109375" defaultRowHeight="13.8" x14ac:dyDescent="0.3"/>
  <cols>
    <col min="1" max="1" width="10.5546875" style="20" bestFit="1" customWidth="1"/>
    <col min="2" max="2" width="104.109375" style="20" customWidth="1"/>
    <col min="3" max="6" width="12.6640625" style="20" customWidth="1"/>
    <col min="7" max="7" width="15.44140625" style="20" customWidth="1"/>
    <col min="8" max="8" width="14.6640625" style="20" customWidth="1"/>
    <col min="9" max="9" width="15" style="20" customWidth="1"/>
    <col min="10" max="10" width="12.6640625" style="20" customWidth="1"/>
    <col min="11" max="11" width="15" style="20" customWidth="1"/>
    <col min="12" max="16384" width="9.109375" style="20"/>
  </cols>
  <sheetData>
    <row r="1" spans="1:11" x14ac:dyDescent="0.3">
      <c r="A1" s="20" t="s">
        <v>41</v>
      </c>
      <c r="B1" s="20" t="str">
        <f>Info!C2</f>
        <v>სს სილქ ბანკი</v>
      </c>
    </row>
    <row r="2" spans="1:11" x14ac:dyDescent="0.3">
      <c r="A2" s="20" t="s">
        <v>42</v>
      </c>
      <c r="B2" s="24">
        <f>'1. key ratios'!B2</f>
        <v>45199</v>
      </c>
    </row>
    <row r="3" spans="1:11" x14ac:dyDescent="0.3">
      <c r="B3" s="421"/>
    </row>
    <row r="4" spans="1:11" ht="40.5" customHeight="1" thickBot="1" x14ac:dyDescent="0.35">
      <c r="A4" s="20" t="s">
        <v>464</v>
      </c>
      <c r="B4" s="272" t="s">
        <v>27</v>
      </c>
    </row>
    <row r="5" spans="1:11" ht="30" customHeight="1" x14ac:dyDescent="0.3">
      <c r="A5" s="867"/>
      <c r="B5" s="868"/>
      <c r="C5" s="869" t="s">
        <v>465</v>
      </c>
      <c r="D5" s="869"/>
      <c r="E5" s="869"/>
      <c r="F5" s="869" t="s">
        <v>466</v>
      </c>
      <c r="G5" s="869"/>
      <c r="H5" s="869"/>
      <c r="I5" s="869" t="s">
        <v>467</v>
      </c>
      <c r="J5" s="869"/>
      <c r="K5" s="870"/>
    </row>
    <row r="6" spans="1:11" x14ac:dyDescent="0.3">
      <c r="A6" s="422"/>
      <c r="B6" s="423"/>
      <c r="C6" s="239" t="s">
        <v>101</v>
      </c>
      <c r="D6" s="239" t="s">
        <v>468</v>
      </c>
      <c r="E6" s="239" t="s">
        <v>103</v>
      </c>
      <c r="F6" s="239" t="s">
        <v>101</v>
      </c>
      <c r="G6" s="239" t="s">
        <v>468</v>
      </c>
      <c r="H6" s="239" t="s">
        <v>103</v>
      </c>
      <c r="I6" s="239" t="s">
        <v>101</v>
      </c>
      <c r="J6" s="239" t="s">
        <v>468</v>
      </c>
      <c r="K6" s="424" t="s">
        <v>103</v>
      </c>
    </row>
    <row r="7" spans="1:11" x14ac:dyDescent="0.3">
      <c r="A7" s="425" t="s">
        <v>469</v>
      </c>
      <c r="B7" s="426"/>
      <c r="C7" s="426"/>
      <c r="D7" s="426"/>
      <c r="E7" s="426"/>
      <c r="F7" s="426"/>
      <c r="G7" s="426"/>
      <c r="H7" s="426"/>
      <c r="I7" s="426"/>
      <c r="J7" s="426"/>
      <c r="K7" s="427"/>
    </row>
    <row r="8" spans="1:11" x14ac:dyDescent="0.3">
      <c r="A8" s="428">
        <v>1</v>
      </c>
      <c r="B8" s="429" t="s">
        <v>469</v>
      </c>
      <c r="C8" s="430"/>
      <c r="D8" s="430"/>
      <c r="E8" s="430"/>
      <c r="F8" s="431">
        <v>85375942.429999992</v>
      </c>
      <c r="G8" s="431">
        <v>11598849.290000001</v>
      </c>
      <c r="H8" s="431">
        <f>F8+G8</f>
        <v>96974791.719999999</v>
      </c>
      <c r="I8" s="431">
        <v>28297344.919999998</v>
      </c>
      <c r="J8" s="431">
        <v>6737357.4100000001</v>
      </c>
      <c r="K8" s="432">
        <f>I8+J8</f>
        <v>35034702.329999998</v>
      </c>
    </row>
    <row r="9" spans="1:11" x14ac:dyDescent="0.3">
      <c r="A9" s="425" t="s">
        <v>470</v>
      </c>
      <c r="B9" s="426"/>
      <c r="C9" s="426"/>
      <c r="D9" s="426"/>
      <c r="E9" s="426"/>
      <c r="F9" s="433"/>
      <c r="G9" s="433"/>
      <c r="H9" s="433"/>
      <c r="I9" s="433"/>
      <c r="J9" s="433"/>
      <c r="K9" s="434"/>
    </row>
    <row r="10" spans="1:11" x14ac:dyDescent="0.3">
      <c r="A10" s="255">
        <v>2</v>
      </c>
      <c r="B10" s="435" t="s">
        <v>471</v>
      </c>
      <c r="C10" s="126">
        <v>9168646.3699999992</v>
      </c>
      <c r="D10" s="436">
        <v>8007766.4299999997</v>
      </c>
      <c r="E10" s="436">
        <f>C10+D10</f>
        <v>17176412.799999997</v>
      </c>
      <c r="F10" s="436">
        <v>419263.40039999987</v>
      </c>
      <c r="G10" s="436">
        <v>1638188.5877</v>
      </c>
      <c r="H10" s="436">
        <f>F10+G10</f>
        <v>2057451.9881</v>
      </c>
      <c r="I10" s="436">
        <v>75379.232500000013</v>
      </c>
      <c r="J10" s="436">
        <v>206077.29800000001</v>
      </c>
      <c r="K10" s="437">
        <f t="shared" ref="K10:K15" si="0">I10+J10</f>
        <v>281456.53049999999</v>
      </c>
    </row>
    <row r="11" spans="1:11" x14ac:dyDescent="0.3">
      <c r="A11" s="255">
        <v>3</v>
      </c>
      <c r="B11" s="435" t="s">
        <v>472</v>
      </c>
      <c r="C11" s="126">
        <v>53210891.600000001</v>
      </c>
      <c r="D11" s="436">
        <v>8208114.5</v>
      </c>
      <c r="E11" s="436">
        <f t="shared" ref="E11:E16" si="1">C11+D11</f>
        <v>61419006.100000001</v>
      </c>
      <c r="F11" s="436">
        <v>5493058.6427500006</v>
      </c>
      <c r="G11" s="436">
        <v>4659477.2427499993</v>
      </c>
      <c r="H11" s="436">
        <f t="shared" ref="H11:H16" si="2">F11+G11</f>
        <v>10152535.885499999</v>
      </c>
      <c r="I11" s="436">
        <v>3517805.8819999998</v>
      </c>
      <c r="J11" s="436">
        <v>2928699.3335000006</v>
      </c>
      <c r="K11" s="437">
        <f t="shared" si="0"/>
        <v>6446505.2155000009</v>
      </c>
    </row>
    <row r="12" spans="1:11" x14ac:dyDescent="0.3">
      <c r="A12" s="255">
        <v>4</v>
      </c>
      <c r="B12" s="435" t="s">
        <v>473</v>
      </c>
      <c r="C12" s="126">
        <v>0</v>
      </c>
      <c r="D12" s="436">
        <v>0</v>
      </c>
      <c r="E12" s="436">
        <f t="shared" si="1"/>
        <v>0</v>
      </c>
      <c r="F12" s="436">
        <v>0</v>
      </c>
      <c r="G12" s="436">
        <v>0</v>
      </c>
      <c r="H12" s="436">
        <f t="shared" si="2"/>
        <v>0</v>
      </c>
      <c r="I12" s="436">
        <v>0</v>
      </c>
      <c r="J12" s="436">
        <v>0</v>
      </c>
      <c r="K12" s="437">
        <f t="shared" si="0"/>
        <v>0</v>
      </c>
    </row>
    <row r="13" spans="1:11" x14ac:dyDescent="0.3">
      <c r="A13" s="255">
        <v>5</v>
      </c>
      <c r="B13" s="435" t="s">
        <v>474</v>
      </c>
      <c r="C13" s="126">
        <v>1956435.61</v>
      </c>
      <c r="D13" s="436">
        <v>2126190.0500000003</v>
      </c>
      <c r="E13" s="436">
        <f t="shared" si="1"/>
        <v>4082625.66</v>
      </c>
      <c r="F13" s="436">
        <v>305181.63010000001</v>
      </c>
      <c r="G13" s="436">
        <v>918425.08599999989</v>
      </c>
      <c r="H13" s="436">
        <f t="shared" si="2"/>
        <v>1223606.7160999998</v>
      </c>
      <c r="I13" s="436">
        <v>114060.1315</v>
      </c>
      <c r="J13" s="436">
        <v>207229.12500000003</v>
      </c>
      <c r="K13" s="437">
        <f t="shared" si="0"/>
        <v>321289.25650000002</v>
      </c>
    </row>
    <row r="14" spans="1:11" x14ac:dyDescent="0.3">
      <c r="A14" s="255">
        <v>6</v>
      </c>
      <c r="B14" s="435" t="s">
        <v>475</v>
      </c>
      <c r="C14" s="126">
        <v>0</v>
      </c>
      <c r="D14" s="436">
        <v>0</v>
      </c>
      <c r="E14" s="436">
        <f t="shared" si="1"/>
        <v>0</v>
      </c>
      <c r="F14" s="436"/>
      <c r="G14" s="436"/>
      <c r="H14" s="436">
        <f t="shared" si="2"/>
        <v>0</v>
      </c>
      <c r="I14" s="436">
        <v>0</v>
      </c>
      <c r="J14" s="436">
        <v>0</v>
      </c>
      <c r="K14" s="437">
        <f t="shared" si="0"/>
        <v>0</v>
      </c>
    </row>
    <row r="15" spans="1:11" x14ac:dyDescent="0.3">
      <c r="A15" s="255">
        <v>7</v>
      </c>
      <c r="B15" s="435" t="s">
        <v>476</v>
      </c>
      <c r="C15" s="126">
        <v>3122611.62</v>
      </c>
      <c r="D15" s="436">
        <v>6028307.1600000001</v>
      </c>
      <c r="E15" s="436">
        <f t="shared" si="1"/>
        <v>9150918.7800000012</v>
      </c>
      <c r="F15" s="436">
        <v>2180739.44</v>
      </c>
      <c r="G15" s="436">
        <v>733894.99</v>
      </c>
      <c r="H15" s="436">
        <f t="shared" si="2"/>
        <v>2914634.4299999997</v>
      </c>
      <c r="I15" s="436">
        <v>2180739.44</v>
      </c>
      <c r="J15" s="436">
        <v>733894.99</v>
      </c>
      <c r="K15" s="437">
        <f t="shared" si="0"/>
        <v>2914634.4299999997</v>
      </c>
    </row>
    <row r="16" spans="1:11" x14ac:dyDescent="0.3">
      <c r="A16" s="255">
        <v>8</v>
      </c>
      <c r="B16" s="438" t="s">
        <v>477</v>
      </c>
      <c r="C16" s="126">
        <f>SUM(C10:C15)</f>
        <v>67458585.200000003</v>
      </c>
      <c r="D16" s="126">
        <f>SUM(D10:D15)</f>
        <v>24370378.140000001</v>
      </c>
      <c r="E16" s="436">
        <f t="shared" si="1"/>
        <v>91828963.340000004</v>
      </c>
      <c r="F16" s="436">
        <f>SUM(F10:F15)</f>
        <v>8398243.1132500004</v>
      </c>
      <c r="G16" s="436">
        <f>SUM(G10:G15)</f>
        <v>7949985.9064499997</v>
      </c>
      <c r="H16" s="436">
        <f t="shared" si="2"/>
        <v>16348229.0197</v>
      </c>
      <c r="I16" s="436">
        <f>SUM(I10:I15)</f>
        <v>5887984.6859999998</v>
      </c>
      <c r="J16" s="436">
        <f>SUM(J10:J15)</f>
        <v>4075900.7465000004</v>
      </c>
      <c r="K16" s="437">
        <f>SUM(K10:K15)</f>
        <v>9963885.432500001</v>
      </c>
    </row>
    <row r="17" spans="1:11" x14ac:dyDescent="0.3">
      <c r="A17" s="425" t="s">
        <v>478</v>
      </c>
      <c r="B17" s="426"/>
      <c r="C17" s="439"/>
      <c r="D17" s="439"/>
      <c r="E17" s="439"/>
      <c r="F17" s="433"/>
      <c r="G17" s="433"/>
      <c r="H17" s="433"/>
      <c r="I17" s="433"/>
      <c r="J17" s="433"/>
      <c r="K17" s="434"/>
    </row>
    <row r="18" spans="1:11" x14ac:dyDescent="0.3">
      <c r="A18" s="255">
        <v>9</v>
      </c>
      <c r="B18" s="435" t="s">
        <v>479</v>
      </c>
      <c r="C18" s="440">
        <v>0</v>
      </c>
      <c r="D18" s="441">
        <v>0</v>
      </c>
      <c r="E18" s="441">
        <f>C18+D18</f>
        <v>0</v>
      </c>
      <c r="F18" s="436">
        <v>0</v>
      </c>
      <c r="G18" s="436">
        <v>0</v>
      </c>
      <c r="H18" s="436">
        <f>F18+G18</f>
        <v>0</v>
      </c>
      <c r="I18" s="436">
        <v>0</v>
      </c>
      <c r="J18" s="436">
        <v>0</v>
      </c>
      <c r="K18" s="437">
        <f>I18+J18</f>
        <v>0</v>
      </c>
    </row>
    <row r="19" spans="1:11" x14ac:dyDescent="0.3">
      <c r="A19" s="255">
        <v>10</v>
      </c>
      <c r="B19" s="435" t="s">
        <v>480</v>
      </c>
      <c r="C19" s="126">
        <v>70508055.929999992</v>
      </c>
      <c r="D19" s="436">
        <v>14535023.16</v>
      </c>
      <c r="E19" s="436">
        <f>C19+D19</f>
        <v>85043079.089999989</v>
      </c>
      <c r="F19" s="436">
        <v>294868.21999999997</v>
      </c>
      <c r="G19" s="436">
        <v>61239.839999999997</v>
      </c>
      <c r="H19" s="436">
        <f>F19+G19</f>
        <v>356108.05999999994</v>
      </c>
      <c r="I19" s="436">
        <v>57373465.729999997</v>
      </c>
      <c r="J19" s="436">
        <v>5153845.3199999994</v>
      </c>
      <c r="K19" s="437">
        <f>I19+J19</f>
        <v>62527311.049999997</v>
      </c>
    </row>
    <row r="20" spans="1:11" x14ac:dyDescent="0.3">
      <c r="A20" s="255">
        <v>11</v>
      </c>
      <c r="B20" s="435" t="s">
        <v>481</v>
      </c>
      <c r="C20" s="126">
        <v>7123698.7999999998</v>
      </c>
      <c r="D20" s="436">
        <v>1409455.49</v>
      </c>
      <c r="E20" s="436">
        <f>C20+D20</f>
        <v>8533154.2899999991</v>
      </c>
      <c r="F20" s="436">
        <v>281883.08</v>
      </c>
      <c r="G20" s="436">
        <v>1409455.49</v>
      </c>
      <c r="H20" s="436">
        <f>F20+G20</f>
        <v>1691338.57</v>
      </c>
      <c r="I20" s="436">
        <v>281883.08</v>
      </c>
      <c r="J20" s="436">
        <v>1409455.49</v>
      </c>
      <c r="K20" s="437">
        <f>I20+J20</f>
        <v>1691338.57</v>
      </c>
    </row>
    <row r="21" spans="1:11" ht="14.4" thickBot="1" x14ac:dyDescent="0.35">
      <c r="A21" s="442">
        <v>12</v>
      </c>
      <c r="B21" s="443" t="s">
        <v>482</v>
      </c>
      <c r="C21" s="444">
        <f>SUM(C18:C20)</f>
        <v>77631754.729999989</v>
      </c>
      <c r="D21" s="444">
        <f>SUM(D18:D20)</f>
        <v>15944478.65</v>
      </c>
      <c r="E21" s="444">
        <f>SUM(E18:E20)</f>
        <v>93576233.379999995</v>
      </c>
      <c r="F21" s="445">
        <f>SUM(F18:F20)</f>
        <v>576751.30000000005</v>
      </c>
      <c r="G21" s="445">
        <f>SUM(G18:G20)</f>
        <v>1470695.33</v>
      </c>
      <c r="H21" s="436">
        <f>F21+G21</f>
        <v>2047446.6300000001</v>
      </c>
      <c r="I21" s="445">
        <f>SUM(I18:I20)</f>
        <v>57655348.809999995</v>
      </c>
      <c r="J21" s="445">
        <f>SUM(J18:J20)</f>
        <v>6563300.8099999996</v>
      </c>
      <c r="K21" s="446">
        <f>SUM(K18:K20)</f>
        <v>64218649.619999997</v>
      </c>
    </row>
    <row r="22" spans="1:11" ht="38.25" customHeight="1" thickBot="1" x14ac:dyDescent="0.35">
      <c r="A22" s="447"/>
      <c r="B22" s="448"/>
      <c r="C22" s="449"/>
      <c r="D22" s="449"/>
      <c r="E22" s="449"/>
      <c r="F22" s="871" t="s">
        <v>483</v>
      </c>
      <c r="G22" s="869"/>
      <c r="H22" s="869"/>
      <c r="I22" s="871" t="s">
        <v>484</v>
      </c>
      <c r="J22" s="869"/>
      <c r="K22" s="870"/>
    </row>
    <row r="23" spans="1:11" x14ac:dyDescent="0.3">
      <c r="A23" s="450">
        <v>13</v>
      </c>
      <c r="B23" s="451" t="s">
        <v>469</v>
      </c>
      <c r="C23" s="452"/>
      <c r="D23" s="453"/>
      <c r="E23" s="453"/>
      <c r="F23" s="454">
        <f t="shared" ref="F23:K23" si="3">F8</f>
        <v>85375942.429999992</v>
      </c>
      <c r="G23" s="454">
        <f t="shared" si="3"/>
        <v>11598849.290000001</v>
      </c>
      <c r="H23" s="454">
        <f t="shared" si="3"/>
        <v>96974791.719999999</v>
      </c>
      <c r="I23" s="455">
        <f t="shared" si="3"/>
        <v>28297344.919999998</v>
      </c>
      <c r="J23" s="455">
        <f t="shared" si="3"/>
        <v>6737357.4100000001</v>
      </c>
      <c r="K23" s="456">
        <f t="shared" si="3"/>
        <v>35034702.329999998</v>
      </c>
    </row>
    <row r="24" spans="1:11" ht="14.4" thickBot="1" x14ac:dyDescent="0.35">
      <c r="A24" s="457">
        <v>14</v>
      </c>
      <c r="B24" s="458" t="s">
        <v>485</v>
      </c>
      <c r="C24" s="459"/>
      <c r="D24" s="460"/>
      <c r="E24" s="461"/>
      <c r="F24" s="462">
        <v>7821491.8132500006</v>
      </c>
      <c r="G24" s="462">
        <v>6479290.5764499996</v>
      </c>
      <c r="H24" s="462">
        <f>MAX(H16-H21,H16*0.25)</f>
        <v>14300782.389699999</v>
      </c>
      <c r="I24" s="463">
        <v>1471996.1714999999</v>
      </c>
      <c r="J24" s="463">
        <v>1018975.1866250001</v>
      </c>
      <c r="K24" s="464">
        <f>MAX(K16-K21,K16*0.25)</f>
        <v>2490971.3581250003</v>
      </c>
    </row>
    <row r="25" spans="1:11" ht="14.4" thickBot="1" x14ac:dyDescent="0.35">
      <c r="A25" s="465">
        <v>15</v>
      </c>
      <c r="B25" s="466" t="s">
        <v>92</v>
      </c>
      <c r="C25" s="467"/>
      <c r="D25" s="468"/>
      <c r="E25" s="468"/>
      <c r="F25" s="469">
        <f t="shared" ref="F25:K25" si="4">IFERROR(F23/F24,0)</f>
        <v>10.915557347431964</v>
      </c>
      <c r="G25" s="469">
        <f t="shared" si="4"/>
        <v>1.7901418609249973</v>
      </c>
      <c r="H25" s="469">
        <f t="shared" si="4"/>
        <v>6.7810829559818462</v>
      </c>
      <c r="I25" s="469">
        <f t="shared" si="4"/>
        <v>19.223789754265674</v>
      </c>
      <c r="J25" s="469">
        <f t="shared" si="4"/>
        <v>6.6118954597070676</v>
      </c>
      <c r="K25" s="470">
        <f t="shared" si="4"/>
        <v>14.064674897093662</v>
      </c>
    </row>
    <row r="28" spans="1:11" ht="41.4" x14ac:dyDescent="0.3">
      <c r="B28" s="109" t="s">
        <v>486</v>
      </c>
    </row>
    <row r="29" spans="1:11" x14ac:dyDescent="0.3">
      <c r="F29" s="471"/>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7296-5E53-4BF0-B636-D90108747276}">
  <dimension ref="A1:AA23"/>
  <sheetViews>
    <sheetView workbookViewId="0">
      <pane xSplit="1" ySplit="5" topLeftCell="B6" activePane="bottomRight" state="frozen"/>
      <selection activeCell="C8" sqref="C8"/>
      <selection pane="topRight" activeCell="C8" sqref="C8"/>
      <selection pane="bottomLeft" activeCell="C8" sqref="C8"/>
      <selection pane="bottomRight" activeCell="C8" sqref="C8"/>
    </sheetView>
  </sheetViews>
  <sheetFormatPr defaultColWidth="9.109375" defaultRowHeight="13.8" x14ac:dyDescent="0.3"/>
  <cols>
    <col min="1" max="1" width="10.5546875" style="329" bestFit="1" customWidth="1"/>
    <col min="2" max="2" width="95" style="329" customWidth="1"/>
    <col min="3" max="3" width="12.5546875" style="329" bestFit="1" customWidth="1"/>
    <col min="4" max="4" width="10" style="329" bestFit="1" customWidth="1"/>
    <col min="5" max="5" width="18.33203125" style="329" bestFit="1" customWidth="1"/>
    <col min="6" max="6" width="10.6640625" style="329" customWidth="1"/>
    <col min="7" max="7" width="16" style="329" customWidth="1"/>
    <col min="8" max="13" width="10.6640625" style="329" customWidth="1"/>
    <col min="14" max="14" width="22" style="329" customWidth="1"/>
    <col min="15" max="16384" width="9.109375" style="181"/>
  </cols>
  <sheetData>
    <row r="1" spans="1:27" x14ac:dyDescent="0.3">
      <c r="A1" s="20" t="s">
        <v>41</v>
      </c>
      <c r="B1" s="329" t="str">
        <f>Info!C2</f>
        <v>სს სილქ ბანკი</v>
      </c>
    </row>
    <row r="2" spans="1:27" ht="14.25" customHeight="1" x14ac:dyDescent="0.3">
      <c r="A2" s="329" t="s">
        <v>42</v>
      </c>
      <c r="B2" s="24">
        <f>'1. key ratios'!B2</f>
        <v>45199</v>
      </c>
    </row>
    <row r="3" spans="1:27" ht="14.25" customHeight="1" x14ac:dyDescent="0.3"/>
    <row r="4" spans="1:27" ht="40.5" customHeight="1" thickBot="1" x14ac:dyDescent="0.35">
      <c r="A4" s="20" t="s">
        <v>487</v>
      </c>
      <c r="B4" s="472" t="s">
        <v>28</v>
      </c>
    </row>
    <row r="5" spans="1:27" s="477" customFormat="1" x14ac:dyDescent="0.3">
      <c r="A5" s="473"/>
      <c r="B5" s="474"/>
      <c r="C5" s="475" t="s">
        <v>297</v>
      </c>
      <c r="D5" s="475" t="s">
        <v>298</v>
      </c>
      <c r="E5" s="475" t="s">
        <v>299</v>
      </c>
      <c r="F5" s="475" t="s">
        <v>399</v>
      </c>
      <c r="G5" s="475" t="s">
        <v>400</v>
      </c>
      <c r="H5" s="475" t="s">
        <v>401</v>
      </c>
      <c r="I5" s="475" t="s">
        <v>402</v>
      </c>
      <c r="J5" s="475" t="s">
        <v>403</v>
      </c>
      <c r="K5" s="475" t="s">
        <v>404</v>
      </c>
      <c r="L5" s="475" t="s">
        <v>405</v>
      </c>
      <c r="M5" s="475" t="s">
        <v>406</v>
      </c>
      <c r="N5" s="476" t="s">
        <v>407</v>
      </c>
    </row>
    <row r="6" spans="1:27" ht="69" x14ac:dyDescent="0.3">
      <c r="A6" s="478"/>
      <c r="B6" s="479"/>
      <c r="C6" s="480" t="s">
        <v>488</v>
      </c>
      <c r="D6" s="481" t="s">
        <v>489</v>
      </c>
      <c r="E6" s="482" t="s">
        <v>490</v>
      </c>
      <c r="F6" s="483">
        <v>0</v>
      </c>
      <c r="G6" s="483">
        <v>0.2</v>
      </c>
      <c r="H6" s="483">
        <v>0.35</v>
      </c>
      <c r="I6" s="483">
        <v>0.5</v>
      </c>
      <c r="J6" s="483">
        <v>0.75</v>
      </c>
      <c r="K6" s="483">
        <v>1</v>
      </c>
      <c r="L6" s="483">
        <v>1.5</v>
      </c>
      <c r="M6" s="483">
        <v>2.5</v>
      </c>
      <c r="N6" s="484" t="s">
        <v>28</v>
      </c>
    </row>
    <row r="7" spans="1:27" x14ac:dyDescent="0.3">
      <c r="A7" s="485">
        <v>1</v>
      </c>
      <c r="B7" s="486" t="s">
        <v>491</v>
      </c>
      <c r="C7" s="487">
        <f>SUM(C8:C13)</f>
        <v>6670400</v>
      </c>
      <c r="D7" s="479"/>
      <c r="E7" s="488">
        <f t="shared" ref="E7:M7" si="0">SUM(E8:E13)</f>
        <v>133408</v>
      </c>
      <c r="F7" s="487">
        <f>SUM(F8:F13)</f>
        <v>0</v>
      </c>
      <c r="G7" s="487">
        <f t="shared" si="0"/>
        <v>0</v>
      </c>
      <c r="H7" s="487">
        <f t="shared" si="0"/>
        <v>0</v>
      </c>
      <c r="I7" s="487">
        <f t="shared" si="0"/>
        <v>0</v>
      </c>
      <c r="J7" s="487">
        <f t="shared" si="0"/>
        <v>0</v>
      </c>
      <c r="K7" s="487">
        <f t="shared" si="0"/>
        <v>133408</v>
      </c>
      <c r="L7" s="487">
        <f t="shared" si="0"/>
        <v>0</v>
      </c>
      <c r="M7" s="487">
        <f t="shared" si="0"/>
        <v>0</v>
      </c>
      <c r="N7" s="489">
        <f>SUM(N8:N13)</f>
        <v>133408</v>
      </c>
      <c r="P7" s="192">
        <v>0</v>
      </c>
      <c r="Q7" s="192">
        <v>0</v>
      </c>
      <c r="R7" s="192">
        <v>0</v>
      </c>
      <c r="S7" s="192">
        <v>0</v>
      </c>
      <c r="T7" s="192">
        <v>0</v>
      </c>
      <c r="U7" s="192">
        <v>0</v>
      </c>
      <c r="V7" s="192">
        <v>0</v>
      </c>
      <c r="W7" s="192">
        <v>0</v>
      </c>
      <c r="X7" s="192">
        <v>0</v>
      </c>
      <c r="Y7" s="192">
        <v>0</v>
      </c>
      <c r="Z7" s="192">
        <v>0</v>
      </c>
      <c r="AA7" s="192">
        <v>0</v>
      </c>
    </row>
    <row r="8" spans="1:27" x14ac:dyDescent="0.3">
      <c r="A8" s="485">
        <v>1.1000000000000001</v>
      </c>
      <c r="B8" s="490" t="s">
        <v>492</v>
      </c>
      <c r="C8" s="491">
        <f>'4. Off-balance'!E32</f>
        <v>6670400</v>
      </c>
      <c r="D8" s="492">
        <v>0.02</v>
      </c>
      <c r="E8" s="488">
        <f>C8*D8</f>
        <v>133408</v>
      </c>
      <c r="F8" s="491"/>
      <c r="G8" s="491"/>
      <c r="H8" s="491"/>
      <c r="I8" s="491"/>
      <c r="J8" s="491"/>
      <c r="K8" s="491">
        <f>E8</f>
        <v>133408</v>
      </c>
      <c r="L8" s="491"/>
      <c r="M8" s="491"/>
      <c r="N8" s="489">
        <f t="shared" ref="N8:N13" si="1">SUMPRODUCT($F$6:$M$6,F8:M8)</f>
        <v>133408</v>
      </c>
      <c r="P8" s="192">
        <v>0</v>
      </c>
      <c r="Q8" s="192">
        <v>0</v>
      </c>
      <c r="R8" s="192">
        <v>0</v>
      </c>
      <c r="S8" s="192">
        <v>0</v>
      </c>
      <c r="T8" s="192">
        <v>0</v>
      </c>
      <c r="U8" s="192">
        <v>0</v>
      </c>
      <c r="V8" s="192">
        <v>0</v>
      </c>
      <c r="W8" s="192">
        <v>0</v>
      </c>
      <c r="X8" s="192">
        <v>0</v>
      </c>
      <c r="Y8" s="192">
        <v>0</v>
      </c>
      <c r="Z8" s="192">
        <v>0</v>
      </c>
      <c r="AA8" s="192">
        <v>0</v>
      </c>
    </row>
    <row r="9" spans="1:27" x14ac:dyDescent="0.3">
      <c r="A9" s="485">
        <v>1.2</v>
      </c>
      <c r="B9" s="490" t="s">
        <v>493</v>
      </c>
      <c r="C9" s="491">
        <v>0</v>
      </c>
      <c r="D9" s="492">
        <v>0.05</v>
      </c>
      <c r="E9" s="488">
        <f>C9*D9</f>
        <v>0</v>
      </c>
      <c r="F9" s="491"/>
      <c r="G9" s="491"/>
      <c r="H9" s="491"/>
      <c r="I9" s="491"/>
      <c r="J9" s="491"/>
      <c r="K9" s="491"/>
      <c r="L9" s="491"/>
      <c r="M9" s="491"/>
      <c r="N9" s="489">
        <f t="shared" si="1"/>
        <v>0</v>
      </c>
      <c r="P9" s="192">
        <v>0</v>
      </c>
      <c r="Q9" s="192">
        <v>0</v>
      </c>
      <c r="R9" s="192">
        <v>0</v>
      </c>
      <c r="S9" s="192">
        <v>0</v>
      </c>
      <c r="T9" s="192">
        <v>0</v>
      </c>
      <c r="U9" s="192">
        <v>0</v>
      </c>
      <c r="V9" s="192">
        <v>0</v>
      </c>
      <c r="W9" s="192">
        <v>0</v>
      </c>
      <c r="X9" s="192">
        <v>0</v>
      </c>
      <c r="Y9" s="192">
        <v>0</v>
      </c>
      <c r="Z9" s="192">
        <v>0</v>
      </c>
      <c r="AA9" s="192">
        <v>0</v>
      </c>
    </row>
    <row r="10" spans="1:27" x14ac:dyDescent="0.3">
      <c r="A10" s="485">
        <v>1.3</v>
      </c>
      <c r="B10" s="490" t="s">
        <v>494</v>
      </c>
      <c r="C10" s="491">
        <v>0</v>
      </c>
      <c r="D10" s="492">
        <v>0.08</v>
      </c>
      <c r="E10" s="488">
        <f>C10*D10</f>
        <v>0</v>
      </c>
      <c r="F10" s="491"/>
      <c r="G10" s="491"/>
      <c r="H10" s="491"/>
      <c r="I10" s="491"/>
      <c r="J10" s="491"/>
      <c r="K10" s="491"/>
      <c r="L10" s="491"/>
      <c r="M10" s="491"/>
      <c r="N10" s="489">
        <f t="shared" si="1"/>
        <v>0</v>
      </c>
      <c r="P10" s="192">
        <v>0</v>
      </c>
      <c r="Q10" s="192">
        <v>0</v>
      </c>
      <c r="R10" s="192">
        <v>0</v>
      </c>
      <c r="S10" s="192">
        <v>0</v>
      </c>
      <c r="T10" s="192">
        <v>0</v>
      </c>
      <c r="U10" s="192">
        <v>0</v>
      </c>
      <c r="V10" s="192">
        <v>0</v>
      </c>
      <c r="W10" s="192">
        <v>0</v>
      </c>
      <c r="X10" s="192">
        <v>0</v>
      </c>
      <c r="Y10" s="192">
        <v>0</v>
      </c>
      <c r="Z10" s="192">
        <v>0</v>
      </c>
      <c r="AA10" s="192">
        <v>0</v>
      </c>
    </row>
    <row r="11" spans="1:27" x14ac:dyDescent="0.3">
      <c r="A11" s="485">
        <v>1.4</v>
      </c>
      <c r="B11" s="490" t="s">
        <v>495</v>
      </c>
      <c r="C11" s="491">
        <v>0</v>
      </c>
      <c r="D11" s="492">
        <v>0.11</v>
      </c>
      <c r="E11" s="488">
        <f>C11*D11</f>
        <v>0</v>
      </c>
      <c r="F11" s="491"/>
      <c r="G11" s="491"/>
      <c r="H11" s="491"/>
      <c r="I11" s="491"/>
      <c r="J11" s="491"/>
      <c r="K11" s="491"/>
      <c r="L11" s="491"/>
      <c r="M11" s="491"/>
      <c r="N11" s="489">
        <f t="shared" si="1"/>
        <v>0</v>
      </c>
      <c r="P11" s="192">
        <v>0</v>
      </c>
      <c r="Q11" s="192">
        <v>0</v>
      </c>
      <c r="R11" s="192">
        <v>0</v>
      </c>
      <c r="S11" s="192">
        <v>0</v>
      </c>
      <c r="T11" s="192">
        <v>0</v>
      </c>
      <c r="U11" s="192">
        <v>0</v>
      </c>
      <c r="V11" s="192">
        <v>0</v>
      </c>
      <c r="W11" s="192">
        <v>0</v>
      </c>
      <c r="X11" s="192">
        <v>0</v>
      </c>
      <c r="Y11" s="192">
        <v>0</v>
      </c>
      <c r="Z11" s="192">
        <v>0</v>
      </c>
      <c r="AA11" s="192">
        <v>0</v>
      </c>
    </row>
    <row r="12" spans="1:27" x14ac:dyDescent="0.3">
      <c r="A12" s="485">
        <v>1.5</v>
      </c>
      <c r="B12" s="490" t="s">
        <v>496</v>
      </c>
      <c r="C12" s="491">
        <v>0</v>
      </c>
      <c r="D12" s="492">
        <v>0.14000000000000001</v>
      </c>
      <c r="E12" s="488">
        <f>C12*D12</f>
        <v>0</v>
      </c>
      <c r="F12" s="491"/>
      <c r="G12" s="491"/>
      <c r="H12" s="491"/>
      <c r="I12" s="491"/>
      <c r="J12" s="491"/>
      <c r="K12" s="491"/>
      <c r="L12" s="491"/>
      <c r="M12" s="491"/>
      <c r="N12" s="489">
        <f t="shared" si="1"/>
        <v>0</v>
      </c>
      <c r="P12" s="192">
        <v>0</v>
      </c>
      <c r="Q12" s="192">
        <v>0</v>
      </c>
      <c r="R12" s="192">
        <v>0</v>
      </c>
      <c r="S12" s="192">
        <v>0</v>
      </c>
      <c r="T12" s="192">
        <v>0</v>
      </c>
      <c r="U12" s="192">
        <v>0</v>
      </c>
      <c r="V12" s="192">
        <v>0</v>
      </c>
      <c r="W12" s="192">
        <v>0</v>
      </c>
      <c r="X12" s="192">
        <v>0</v>
      </c>
      <c r="Y12" s="192">
        <v>0</v>
      </c>
      <c r="Z12" s="192">
        <v>0</v>
      </c>
      <c r="AA12" s="192">
        <v>0</v>
      </c>
    </row>
    <row r="13" spans="1:27" x14ac:dyDescent="0.3">
      <c r="A13" s="485">
        <v>1.6</v>
      </c>
      <c r="B13" s="493" t="s">
        <v>497</v>
      </c>
      <c r="C13" s="491">
        <v>0</v>
      </c>
      <c r="D13" s="494"/>
      <c r="E13" s="491"/>
      <c r="F13" s="491"/>
      <c r="G13" s="491"/>
      <c r="H13" s="491"/>
      <c r="I13" s="491"/>
      <c r="J13" s="491"/>
      <c r="K13" s="491"/>
      <c r="L13" s="491"/>
      <c r="M13" s="491"/>
      <c r="N13" s="489">
        <f t="shared" si="1"/>
        <v>0</v>
      </c>
      <c r="P13" s="192">
        <v>0</v>
      </c>
      <c r="Q13" s="192">
        <v>0</v>
      </c>
      <c r="R13" s="192">
        <v>0</v>
      </c>
      <c r="S13" s="192">
        <v>0</v>
      </c>
      <c r="T13" s="192">
        <v>0</v>
      </c>
      <c r="U13" s="192">
        <v>0</v>
      </c>
      <c r="V13" s="192">
        <v>0</v>
      </c>
      <c r="W13" s="192">
        <v>0</v>
      </c>
      <c r="X13" s="192">
        <v>0</v>
      </c>
      <c r="Y13" s="192">
        <v>0</v>
      </c>
      <c r="Z13" s="192">
        <v>0</v>
      </c>
      <c r="AA13" s="192">
        <v>0</v>
      </c>
    </row>
    <row r="14" spans="1:27" x14ac:dyDescent="0.3">
      <c r="A14" s="485">
        <v>2</v>
      </c>
      <c r="B14" s="495" t="s">
        <v>498</v>
      </c>
      <c r="C14" s="487">
        <f>SUM(C15:C20)</f>
        <v>0</v>
      </c>
      <c r="D14" s="479"/>
      <c r="E14" s="488">
        <f t="shared" ref="E14:M14" si="2">SUM(E15:E20)</f>
        <v>0</v>
      </c>
      <c r="F14" s="491">
        <f t="shared" si="2"/>
        <v>0</v>
      </c>
      <c r="G14" s="491">
        <f t="shared" si="2"/>
        <v>0</v>
      </c>
      <c r="H14" s="491">
        <f t="shared" si="2"/>
        <v>0</v>
      </c>
      <c r="I14" s="491">
        <f t="shared" si="2"/>
        <v>0</v>
      </c>
      <c r="J14" s="491">
        <f t="shared" si="2"/>
        <v>0</v>
      </c>
      <c r="K14" s="491">
        <f t="shared" si="2"/>
        <v>0</v>
      </c>
      <c r="L14" s="491">
        <f t="shared" si="2"/>
        <v>0</v>
      </c>
      <c r="M14" s="491">
        <f t="shared" si="2"/>
        <v>0</v>
      </c>
      <c r="N14" s="489">
        <f>SUM(N15:N20)</f>
        <v>0</v>
      </c>
      <c r="P14" s="192">
        <v>0</v>
      </c>
      <c r="Q14" s="192">
        <v>0</v>
      </c>
      <c r="R14" s="192">
        <v>0</v>
      </c>
      <c r="S14" s="192">
        <v>0</v>
      </c>
      <c r="T14" s="192">
        <v>0</v>
      </c>
      <c r="U14" s="192">
        <v>0</v>
      </c>
      <c r="V14" s="192">
        <v>0</v>
      </c>
      <c r="W14" s="192">
        <v>0</v>
      </c>
      <c r="X14" s="192">
        <v>0</v>
      </c>
      <c r="Y14" s="192">
        <v>0</v>
      </c>
      <c r="Z14" s="192">
        <v>0</v>
      </c>
      <c r="AA14" s="192">
        <v>0</v>
      </c>
    </row>
    <row r="15" spans="1:27" x14ac:dyDescent="0.3">
      <c r="A15" s="485">
        <v>2.1</v>
      </c>
      <c r="B15" s="493" t="s">
        <v>492</v>
      </c>
      <c r="C15" s="491"/>
      <c r="D15" s="492">
        <v>5.0000000000000001E-3</v>
      </c>
      <c r="E15" s="488">
        <f>C15*D15</f>
        <v>0</v>
      </c>
      <c r="F15" s="491"/>
      <c r="G15" s="491"/>
      <c r="H15" s="491"/>
      <c r="I15" s="491"/>
      <c r="J15" s="491"/>
      <c r="K15" s="491"/>
      <c r="L15" s="491"/>
      <c r="M15" s="491"/>
      <c r="N15" s="489">
        <f t="shared" ref="N15:N20" si="3">SUMPRODUCT($F$6:$M$6,F15:M15)</f>
        <v>0</v>
      </c>
      <c r="P15" s="192">
        <v>0</v>
      </c>
      <c r="Q15" s="192">
        <v>0</v>
      </c>
      <c r="R15" s="192">
        <v>0</v>
      </c>
      <c r="S15" s="192">
        <v>0</v>
      </c>
      <c r="T15" s="192">
        <v>0</v>
      </c>
      <c r="U15" s="192">
        <v>0</v>
      </c>
      <c r="V15" s="192">
        <v>0</v>
      </c>
      <c r="W15" s="192">
        <v>0</v>
      </c>
      <c r="X15" s="192">
        <v>0</v>
      </c>
      <c r="Y15" s="192">
        <v>0</v>
      </c>
      <c r="Z15" s="192">
        <v>0</v>
      </c>
      <c r="AA15" s="192">
        <v>0</v>
      </c>
    </row>
    <row r="16" spans="1:27" x14ac:dyDescent="0.3">
      <c r="A16" s="485">
        <v>2.2000000000000002</v>
      </c>
      <c r="B16" s="493" t="s">
        <v>493</v>
      </c>
      <c r="C16" s="491"/>
      <c r="D16" s="492">
        <v>0.01</v>
      </c>
      <c r="E16" s="488">
        <f>C16*D16</f>
        <v>0</v>
      </c>
      <c r="F16" s="491"/>
      <c r="G16" s="491"/>
      <c r="H16" s="491"/>
      <c r="I16" s="491"/>
      <c r="J16" s="491"/>
      <c r="K16" s="491"/>
      <c r="L16" s="491"/>
      <c r="M16" s="491"/>
      <c r="N16" s="489">
        <f t="shared" si="3"/>
        <v>0</v>
      </c>
      <c r="P16" s="192">
        <v>0</v>
      </c>
      <c r="Q16" s="192">
        <v>0</v>
      </c>
      <c r="R16" s="192">
        <v>0</v>
      </c>
      <c r="S16" s="192">
        <v>0</v>
      </c>
      <c r="T16" s="192">
        <v>0</v>
      </c>
      <c r="U16" s="192">
        <v>0</v>
      </c>
      <c r="V16" s="192">
        <v>0</v>
      </c>
      <c r="W16" s="192">
        <v>0</v>
      </c>
      <c r="X16" s="192">
        <v>0</v>
      </c>
      <c r="Y16" s="192">
        <v>0</v>
      </c>
      <c r="Z16" s="192">
        <v>0</v>
      </c>
      <c r="AA16" s="192">
        <v>0</v>
      </c>
    </row>
    <row r="17" spans="1:27" x14ac:dyDescent="0.3">
      <c r="A17" s="485">
        <v>2.2999999999999998</v>
      </c>
      <c r="B17" s="493" t="s">
        <v>494</v>
      </c>
      <c r="C17" s="491"/>
      <c r="D17" s="492">
        <v>0.02</v>
      </c>
      <c r="E17" s="488">
        <f>C17*D17</f>
        <v>0</v>
      </c>
      <c r="F17" s="491"/>
      <c r="G17" s="491"/>
      <c r="H17" s="491"/>
      <c r="I17" s="491"/>
      <c r="J17" s="491"/>
      <c r="K17" s="491"/>
      <c r="L17" s="491"/>
      <c r="M17" s="491"/>
      <c r="N17" s="489">
        <f t="shared" si="3"/>
        <v>0</v>
      </c>
      <c r="P17" s="192">
        <v>0</v>
      </c>
      <c r="Q17" s="192">
        <v>0</v>
      </c>
      <c r="R17" s="192">
        <v>0</v>
      </c>
      <c r="S17" s="192">
        <v>0</v>
      </c>
      <c r="T17" s="192">
        <v>0</v>
      </c>
      <c r="U17" s="192">
        <v>0</v>
      </c>
      <c r="V17" s="192">
        <v>0</v>
      </c>
      <c r="W17" s="192">
        <v>0</v>
      </c>
      <c r="X17" s="192">
        <v>0</v>
      </c>
      <c r="Y17" s="192">
        <v>0</v>
      </c>
      <c r="Z17" s="192">
        <v>0</v>
      </c>
      <c r="AA17" s="192">
        <v>0</v>
      </c>
    </row>
    <row r="18" spans="1:27" x14ac:dyDescent="0.3">
      <c r="A18" s="485">
        <v>2.4</v>
      </c>
      <c r="B18" s="493" t="s">
        <v>495</v>
      </c>
      <c r="C18" s="491"/>
      <c r="D18" s="492">
        <v>0.03</v>
      </c>
      <c r="E18" s="488">
        <f>C18*D18</f>
        <v>0</v>
      </c>
      <c r="F18" s="491"/>
      <c r="G18" s="491"/>
      <c r="H18" s="491"/>
      <c r="I18" s="491"/>
      <c r="J18" s="491"/>
      <c r="K18" s="491"/>
      <c r="L18" s="491"/>
      <c r="M18" s="491"/>
      <c r="N18" s="489">
        <f t="shared" si="3"/>
        <v>0</v>
      </c>
      <c r="P18" s="192">
        <v>0</v>
      </c>
      <c r="Q18" s="192">
        <v>0</v>
      </c>
      <c r="R18" s="192">
        <v>0</v>
      </c>
      <c r="S18" s="192">
        <v>0</v>
      </c>
      <c r="T18" s="192">
        <v>0</v>
      </c>
      <c r="U18" s="192">
        <v>0</v>
      </c>
      <c r="V18" s="192">
        <v>0</v>
      </c>
      <c r="W18" s="192">
        <v>0</v>
      </c>
      <c r="X18" s="192">
        <v>0</v>
      </c>
      <c r="Y18" s="192">
        <v>0</v>
      </c>
      <c r="Z18" s="192">
        <v>0</v>
      </c>
      <c r="AA18" s="192">
        <v>0</v>
      </c>
    </row>
    <row r="19" spans="1:27" x14ac:dyDescent="0.3">
      <c r="A19" s="485">
        <v>2.5</v>
      </c>
      <c r="B19" s="493" t="s">
        <v>496</v>
      </c>
      <c r="C19" s="491"/>
      <c r="D19" s="492">
        <v>0.04</v>
      </c>
      <c r="E19" s="488">
        <f>C19*D19</f>
        <v>0</v>
      </c>
      <c r="F19" s="491"/>
      <c r="G19" s="491"/>
      <c r="H19" s="491"/>
      <c r="I19" s="491"/>
      <c r="J19" s="491"/>
      <c r="K19" s="491"/>
      <c r="L19" s="491"/>
      <c r="M19" s="491"/>
      <c r="N19" s="489">
        <f t="shared" si="3"/>
        <v>0</v>
      </c>
      <c r="P19" s="192">
        <v>0</v>
      </c>
      <c r="Q19" s="192">
        <v>0</v>
      </c>
      <c r="R19" s="192">
        <v>0</v>
      </c>
      <c r="S19" s="192">
        <v>0</v>
      </c>
      <c r="T19" s="192">
        <v>0</v>
      </c>
      <c r="U19" s="192">
        <v>0</v>
      </c>
      <c r="V19" s="192">
        <v>0</v>
      </c>
      <c r="W19" s="192">
        <v>0</v>
      </c>
      <c r="X19" s="192">
        <v>0</v>
      </c>
      <c r="Y19" s="192">
        <v>0</v>
      </c>
      <c r="Z19" s="192">
        <v>0</v>
      </c>
      <c r="AA19" s="192">
        <v>0</v>
      </c>
    </row>
    <row r="20" spans="1:27" x14ac:dyDescent="0.3">
      <c r="A20" s="485">
        <v>2.6</v>
      </c>
      <c r="B20" s="493" t="s">
        <v>497</v>
      </c>
      <c r="C20" s="491"/>
      <c r="D20" s="494"/>
      <c r="E20" s="496"/>
      <c r="F20" s="491"/>
      <c r="G20" s="491"/>
      <c r="H20" s="491"/>
      <c r="I20" s="491"/>
      <c r="J20" s="491"/>
      <c r="K20" s="491"/>
      <c r="L20" s="491"/>
      <c r="M20" s="491"/>
      <c r="N20" s="489">
        <f t="shared" si="3"/>
        <v>0</v>
      </c>
      <c r="P20" s="192">
        <v>0</v>
      </c>
      <c r="Q20" s="192">
        <v>0</v>
      </c>
      <c r="R20" s="192">
        <v>0</v>
      </c>
      <c r="S20" s="192">
        <v>0</v>
      </c>
      <c r="T20" s="192">
        <v>0</v>
      </c>
      <c r="U20" s="192">
        <v>0</v>
      </c>
      <c r="V20" s="192">
        <v>0</v>
      </c>
      <c r="W20" s="192">
        <v>0</v>
      </c>
      <c r="X20" s="192">
        <v>0</v>
      </c>
      <c r="Y20" s="192">
        <v>0</v>
      </c>
      <c r="Z20" s="192">
        <v>0</v>
      </c>
      <c r="AA20" s="192">
        <v>0</v>
      </c>
    </row>
    <row r="21" spans="1:27" ht="14.4" thickBot="1" x14ac:dyDescent="0.35">
      <c r="A21" s="497">
        <v>3</v>
      </c>
      <c r="B21" s="498" t="s">
        <v>103</v>
      </c>
      <c r="C21" s="499">
        <f>C14+C7</f>
        <v>6670400</v>
      </c>
      <c r="D21" s="500"/>
      <c r="E21" s="501">
        <f>E14+E7</f>
        <v>133408</v>
      </c>
      <c r="F21" s="502">
        <f>F7+F14</f>
        <v>0</v>
      </c>
      <c r="G21" s="502">
        <f t="shared" ref="G21:L21" si="4">G7+G14</f>
        <v>0</v>
      </c>
      <c r="H21" s="502">
        <f t="shared" si="4"/>
        <v>0</v>
      </c>
      <c r="I21" s="502">
        <f t="shared" si="4"/>
        <v>0</v>
      </c>
      <c r="J21" s="502">
        <f t="shared" si="4"/>
        <v>0</v>
      </c>
      <c r="K21" s="502">
        <f t="shared" si="4"/>
        <v>133408</v>
      </c>
      <c r="L21" s="502">
        <f t="shared" si="4"/>
        <v>0</v>
      </c>
      <c r="M21" s="502">
        <f>M7+M14</f>
        <v>0</v>
      </c>
      <c r="N21" s="503">
        <f>N14+N7</f>
        <v>133408</v>
      </c>
      <c r="P21" s="192">
        <v>0</v>
      </c>
      <c r="Q21" s="192">
        <v>0</v>
      </c>
      <c r="R21" s="192">
        <v>0</v>
      </c>
      <c r="S21" s="192">
        <v>0</v>
      </c>
      <c r="T21" s="192">
        <v>0</v>
      </c>
      <c r="U21" s="192">
        <v>0</v>
      </c>
      <c r="V21" s="192">
        <v>0</v>
      </c>
      <c r="W21" s="192">
        <v>0</v>
      </c>
      <c r="X21" s="192">
        <v>-133408</v>
      </c>
      <c r="Y21" s="192">
        <v>0</v>
      </c>
      <c r="Z21" s="192">
        <v>0</v>
      </c>
      <c r="AA21" s="192">
        <v>0</v>
      </c>
    </row>
    <row r="22" spans="1:27" x14ac:dyDescent="0.3">
      <c r="B22" s="504"/>
      <c r="E22" s="505"/>
      <c r="F22" s="505"/>
      <c r="G22" s="505"/>
      <c r="H22" s="505"/>
      <c r="I22" s="505"/>
      <c r="J22" s="505"/>
      <c r="K22" s="505"/>
      <c r="L22" s="505"/>
      <c r="M22" s="505"/>
    </row>
    <row r="23" spans="1:27" x14ac:dyDescent="0.3">
      <c r="E23" s="506">
        <f>'5. RWA'!C10-E21</f>
        <v>0</v>
      </c>
    </row>
  </sheetData>
  <conditionalFormatting sqref="E8:E12">
    <cfRule type="expression" dxfId="29" priority="2">
      <formula>(C8*D8)&lt;&gt;SUM(#REF!)</formula>
    </cfRule>
  </conditionalFormatting>
  <conditionalFormatting sqref="E15:E19">
    <cfRule type="expression" dxfId="28" priority="1">
      <formula>(C15*D15)&lt;&gt;SUM(#REF!)</formula>
    </cfRule>
  </conditionalFormatting>
  <conditionalFormatting sqref="E20">
    <cfRule type="expression" dxfId="27" priority="3">
      <formula>$E$88&lt;&gt;SUM(#REF!)</formula>
    </cfRule>
  </conditionalFormatting>
  <pageMargins left="0.7" right="0.7" top="0.75" bottom="0.75" header="0.3" footer="0.3"/>
  <pageSetup paperSize="0" orientation="portrait" horizontalDpi="0" verticalDpi="0" copies="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40E5-5AB2-48EE-B0D3-B814F207F044}">
  <dimension ref="A1:C43"/>
  <sheetViews>
    <sheetView workbookViewId="0">
      <selection activeCell="C10" sqref="C10:C39"/>
    </sheetView>
  </sheetViews>
  <sheetFormatPr defaultRowHeight="14.4" x14ac:dyDescent="0.3"/>
  <cols>
    <col min="1" max="1" width="11.44140625" customWidth="1"/>
    <col min="2" max="2" width="76.88671875" style="261" customWidth="1"/>
    <col min="3" max="3" width="22.88671875" customWidth="1"/>
    <col min="5" max="5" width="23.6640625" customWidth="1"/>
  </cols>
  <sheetData>
    <row r="1" spans="1:3" x14ac:dyDescent="0.3">
      <c r="A1" s="20" t="s">
        <v>41</v>
      </c>
      <c r="B1" t="str">
        <f>Info!C2</f>
        <v>სს სილქ ბანკი</v>
      </c>
    </row>
    <row r="2" spans="1:3" x14ac:dyDescent="0.3">
      <c r="A2" s="20" t="s">
        <v>42</v>
      </c>
      <c r="B2" s="24">
        <f>'1. key ratios'!B2</f>
        <v>45199</v>
      </c>
    </row>
    <row r="3" spans="1:3" x14ac:dyDescent="0.3">
      <c r="A3" s="20"/>
      <c r="B3"/>
    </row>
    <row r="4" spans="1:3" ht="40.5" customHeight="1" x14ac:dyDescent="0.3">
      <c r="A4" s="20" t="s">
        <v>499</v>
      </c>
      <c r="B4" t="s">
        <v>29</v>
      </c>
    </row>
    <row r="5" spans="1:3" x14ac:dyDescent="0.3">
      <c r="A5" s="507"/>
      <c r="B5" s="507" t="s">
        <v>500</v>
      </c>
      <c r="C5" s="508"/>
    </row>
    <row r="6" spans="1:3" x14ac:dyDescent="0.3">
      <c r="A6" s="509">
        <v>1</v>
      </c>
      <c r="B6" s="510" t="s">
        <v>501</v>
      </c>
      <c r="C6" s="777">
        <v>148976539.24046686</v>
      </c>
    </row>
    <row r="7" spans="1:3" x14ac:dyDescent="0.3">
      <c r="A7" s="509">
        <v>2</v>
      </c>
      <c r="B7" s="510" t="s">
        <v>502</v>
      </c>
      <c r="C7" s="518">
        <v>-5437149.7789957598</v>
      </c>
    </row>
    <row r="8" spans="1:3" x14ac:dyDescent="0.3">
      <c r="A8" s="511">
        <v>3</v>
      </c>
      <c r="B8" s="512" t="s">
        <v>503</v>
      </c>
      <c r="C8" s="513">
        <f>C6+C7</f>
        <v>143539389.46147111</v>
      </c>
    </row>
    <row r="9" spans="1:3" x14ac:dyDescent="0.3">
      <c r="A9" s="514"/>
      <c r="B9" s="514" t="s">
        <v>504</v>
      </c>
      <c r="C9" s="515"/>
    </row>
    <row r="10" spans="1:3" x14ac:dyDescent="0.3">
      <c r="A10" s="516">
        <v>4</v>
      </c>
      <c r="B10" s="517" t="s">
        <v>505</v>
      </c>
      <c r="C10" s="518"/>
    </row>
    <row r="11" spans="1:3" x14ac:dyDescent="0.3">
      <c r="A11" s="516">
        <v>5</v>
      </c>
      <c r="B11" s="519" t="s">
        <v>506</v>
      </c>
      <c r="C11" s="518"/>
    </row>
    <row r="12" spans="1:3" x14ac:dyDescent="0.3">
      <c r="A12" s="516" t="s">
        <v>507</v>
      </c>
      <c r="B12" s="510" t="s">
        <v>508</v>
      </c>
      <c r="C12" s="513">
        <f>'15. CCR'!E21</f>
        <v>133408</v>
      </c>
    </row>
    <row r="13" spans="1:3" x14ac:dyDescent="0.3">
      <c r="A13" s="520">
        <v>6</v>
      </c>
      <c r="B13" s="521" t="s">
        <v>509</v>
      </c>
      <c r="C13" s="518"/>
    </row>
    <row r="14" spans="1:3" x14ac:dyDescent="0.3">
      <c r="A14" s="520">
        <v>7</v>
      </c>
      <c r="B14" s="522" t="s">
        <v>510</v>
      </c>
      <c r="C14" s="518"/>
    </row>
    <row r="15" spans="1:3" x14ac:dyDescent="0.3">
      <c r="A15" s="523">
        <v>8</v>
      </c>
      <c r="B15" s="510" t="s">
        <v>511</v>
      </c>
      <c r="C15" s="518"/>
    </row>
    <row r="16" spans="1:3" ht="22.8" x14ac:dyDescent="0.3">
      <c r="A16" s="520">
        <v>9</v>
      </c>
      <c r="B16" s="522" t="s">
        <v>512</v>
      </c>
      <c r="C16" s="518"/>
    </row>
    <row r="17" spans="1:3" x14ac:dyDescent="0.3">
      <c r="A17" s="520">
        <v>10</v>
      </c>
      <c r="B17" s="522" t="s">
        <v>513</v>
      </c>
      <c r="C17" s="518"/>
    </row>
    <row r="18" spans="1:3" x14ac:dyDescent="0.3">
      <c r="A18" s="524">
        <v>11</v>
      </c>
      <c r="B18" s="525" t="s">
        <v>514</v>
      </c>
      <c r="C18" s="513">
        <f>SUM(C10:C17)</f>
        <v>133408</v>
      </c>
    </row>
    <row r="19" spans="1:3" x14ac:dyDescent="0.3">
      <c r="A19" s="514"/>
      <c r="B19" s="514" t="s">
        <v>515</v>
      </c>
      <c r="C19" s="526"/>
    </row>
    <row r="20" spans="1:3" x14ac:dyDescent="0.3">
      <c r="A20" s="520">
        <v>12</v>
      </c>
      <c r="B20" s="517" t="s">
        <v>516</v>
      </c>
      <c r="C20" s="518"/>
    </row>
    <row r="21" spans="1:3" x14ac:dyDescent="0.3">
      <c r="A21" s="520">
        <v>13</v>
      </c>
      <c r="B21" s="517" t="s">
        <v>517</v>
      </c>
      <c r="C21" s="518"/>
    </row>
    <row r="22" spans="1:3" x14ac:dyDescent="0.3">
      <c r="A22" s="520">
        <v>14</v>
      </c>
      <c r="B22" s="527" t="s">
        <v>518</v>
      </c>
      <c r="C22" s="518"/>
    </row>
    <row r="23" spans="1:3" ht="22.8" x14ac:dyDescent="0.3">
      <c r="A23" s="520" t="s">
        <v>519</v>
      </c>
      <c r="B23" s="517" t="s">
        <v>520</v>
      </c>
      <c r="C23" s="518"/>
    </row>
    <row r="24" spans="1:3" x14ac:dyDescent="0.3">
      <c r="A24" s="520">
        <v>15</v>
      </c>
      <c r="B24" s="517" t="s">
        <v>521</v>
      </c>
      <c r="C24" s="518"/>
    </row>
    <row r="25" spans="1:3" x14ac:dyDescent="0.3">
      <c r="A25" s="520" t="s">
        <v>522</v>
      </c>
      <c r="B25" s="510" t="s">
        <v>523</v>
      </c>
      <c r="C25" s="518"/>
    </row>
    <row r="26" spans="1:3" x14ac:dyDescent="0.3">
      <c r="A26" s="524">
        <v>16</v>
      </c>
      <c r="B26" s="525" t="s">
        <v>524</v>
      </c>
      <c r="C26" s="513">
        <f>SUM(C20:C25)</f>
        <v>0</v>
      </c>
    </row>
    <row r="27" spans="1:3" x14ac:dyDescent="0.3">
      <c r="A27" s="514"/>
      <c r="B27" s="514" t="s">
        <v>525</v>
      </c>
      <c r="C27" s="515"/>
    </row>
    <row r="28" spans="1:3" x14ac:dyDescent="0.3">
      <c r="A28" s="516">
        <v>17</v>
      </c>
      <c r="B28" s="510" t="s">
        <v>526</v>
      </c>
      <c r="C28" s="518">
        <v>6787249.438979134</v>
      </c>
    </row>
    <row r="29" spans="1:3" x14ac:dyDescent="0.3">
      <c r="A29" s="516">
        <v>18</v>
      </c>
      <c r="B29" s="510" t="s">
        <v>527</v>
      </c>
      <c r="C29" s="518">
        <v>-2672951.7787713581</v>
      </c>
    </row>
    <row r="30" spans="1:3" x14ac:dyDescent="0.3">
      <c r="A30" s="524">
        <v>19</v>
      </c>
      <c r="B30" s="525" t="s">
        <v>528</v>
      </c>
      <c r="C30" s="513">
        <f>C28+C29</f>
        <v>4114297.6602077759</v>
      </c>
    </row>
    <row r="31" spans="1:3" x14ac:dyDescent="0.3">
      <c r="A31" s="528"/>
      <c r="B31" s="514" t="s">
        <v>529</v>
      </c>
      <c r="C31" s="515"/>
    </row>
    <row r="32" spans="1:3" x14ac:dyDescent="0.3">
      <c r="A32" s="516" t="s">
        <v>530</v>
      </c>
      <c r="B32" s="517" t="s">
        <v>531</v>
      </c>
      <c r="C32" s="529"/>
    </row>
    <row r="33" spans="1:3" x14ac:dyDescent="0.3">
      <c r="A33" s="516" t="s">
        <v>532</v>
      </c>
      <c r="B33" s="519" t="s">
        <v>533</v>
      </c>
      <c r="C33" s="529"/>
    </row>
    <row r="34" spans="1:3" x14ac:dyDescent="0.3">
      <c r="A34" s="514"/>
      <c r="B34" s="514" t="s">
        <v>534</v>
      </c>
      <c r="C34" s="515"/>
    </row>
    <row r="35" spans="1:3" x14ac:dyDescent="0.3">
      <c r="A35" s="524">
        <v>20</v>
      </c>
      <c r="B35" s="525" t="s">
        <v>61</v>
      </c>
      <c r="C35" s="513">
        <f>'1. key ratios'!C9</f>
        <v>47232568.251399003</v>
      </c>
    </row>
    <row r="36" spans="1:3" x14ac:dyDescent="0.3">
      <c r="A36" s="524">
        <v>21</v>
      </c>
      <c r="B36" s="525" t="s">
        <v>535</v>
      </c>
      <c r="C36" s="513">
        <f>C8+C18+C26+C30</f>
        <v>147787095.12167889</v>
      </c>
    </row>
    <row r="37" spans="1:3" x14ac:dyDescent="0.3">
      <c r="A37" s="530"/>
      <c r="B37" s="530" t="s">
        <v>29</v>
      </c>
      <c r="C37" s="515"/>
    </row>
    <row r="38" spans="1:3" x14ac:dyDescent="0.3">
      <c r="A38" s="524">
        <v>22</v>
      </c>
      <c r="B38" s="525" t="s">
        <v>29</v>
      </c>
      <c r="C38" s="531">
        <f>IFERROR(C35/C36,0)</f>
        <v>0.31959873230142716</v>
      </c>
    </row>
    <row r="39" spans="1:3" x14ac:dyDescent="0.3">
      <c r="A39" s="530"/>
      <c r="B39" s="530" t="s">
        <v>536</v>
      </c>
      <c r="C39" s="515"/>
    </row>
    <row r="40" spans="1:3" x14ac:dyDescent="0.3">
      <c r="A40" s="532" t="s">
        <v>537</v>
      </c>
      <c r="B40" s="517" t="s">
        <v>538</v>
      </c>
      <c r="C40" s="529"/>
    </row>
    <row r="41" spans="1:3" x14ac:dyDescent="0.3">
      <c r="A41" s="533" t="s">
        <v>539</v>
      </c>
      <c r="B41" s="519" t="s">
        <v>540</v>
      </c>
      <c r="C41" s="529"/>
    </row>
    <row r="43" spans="1:3" x14ac:dyDescent="0.3">
      <c r="B43" s="534" t="s">
        <v>541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5607-8D81-48CD-9DA0-7DCA8FE5F1B4}">
  <dimension ref="A1:L42"/>
  <sheetViews>
    <sheetView zoomScaleNormal="100" workbookViewId="0">
      <pane xSplit="2" ySplit="6" topLeftCell="C26" activePane="bottomRight" state="frozen"/>
      <selection activeCell="C8" sqref="C8"/>
      <selection pane="topRight" activeCell="C8" sqref="C8"/>
      <selection pane="bottomLeft" activeCell="C8" sqref="C8"/>
      <selection pane="bottomRight" activeCell="C8" sqref="C8:G39"/>
    </sheetView>
  </sheetViews>
  <sheetFormatPr defaultRowHeight="14.4" x14ac:dyDescent="0.3"/>
  <cols>
    <col min="1" max="1" width="9.88671875" style="20" bestFit="1" customWidth="1"/>
    <col min="2" max="2" width="95.109375" style="109" customWidth="1"/>
    <col min="3" max="7" width="17.5546875" style="20" customWidth="1"/>
    <col min="8" max="8" width="15.88671875" style="226" customWidth="1"/>
    <col min="9" max="9" width="12.88671875" style="226" bestFit="1" customWidth="1"/>
    <col min="10" max="10" width="11.109375" bestFit="1" customWidth="1"/>
    <col min="11" max="11" width="14.5546875" bestFit="1" customWidth="1"/>
    <col min="12" max="12" width="11.109375" bestFit="1" customWidth="1"/>
  </cols>
  <sheetData>
    <row r="1" spans="1:12" x14ac:dyDescent="0.3">
      <c r="A1" s="20" t="s">
        <v>41</v>
      </c>
      <c r="B1" s="20" t="str">
        <f>Info!C2</f>
        <v>სს სილქ ბანკი</v>
      </c>
    </row>
    <row r="2" spans="1:12" x14ac:dyDescent="0.3">
      <c r="A2" s="20" t="s">
        <v>42</v>
      </c>
      <c r="B2" s="24">
        <f>'1. key ratios'!B2</f>
        <v>45199</v>
      </c>
    </row>
    <row r="3" spans="1:12" x14ac:dyDescent="0.3">
      <c r="B3" s="535"/>
    </row>
    <row r="4" spans="1:12" ht="40.5" customHeight="1" thickBot="1" x14ac:dyDescent="0.35">
      <c r="A4" s="20" t="s">
        <v>542</v>
      </c>
      <c r="B4" s="372" t="s">
        <v>30</v>
      </c>
    </row>
    <row r="5" spans="1:12" x14ac:dyDescent="0.3">
      <c r="A5" s="536"/>
      <c r="B5" s="537"/>
      <c r="C5" s="872" t="s">
        <v>543</v>
      </c>
      <c r="D5" s="872"/>
      <c r="E5" s="872"/>
      <c r="F5" s="872"/>
      <c r="G5" s="873" t="s">
        <v>544</v>
      </c>
    </row>
    <row r="6" spans="1:12" x14ac:dyDescent="0.3">
      <c r="A6" s="538"/>
      <c r="B6" s="539"/>
      <c r="C6" s="540" t="s">
        <v>545</v>
      </c>
      <c r="D6" s="540" t="s">
        <v>546</v>
      </c>
      <c r="E6" s="540" t="s">
        <v>547</v>
      </c>
      <c r="F6" s="540" t="s">
        <v>548</v>
      </c>
      <c r="G6" s="874"/>
    </row>
    <row r="7" spans="1:12" x14ac:dyDescent="0.3">
      <c r="A7" s="541"/>
      <c r="B7" s="542" t="s">
        <v>93</v>
      </c>
      <c r="C7" s="543"/>
      <c r="D7" s="543"/>
      <c r="E7" s="543"/>
      <c r="F7" s="543"/>
      <c r="G7" s="544"/>
    </row>
    <row r="8" spans="1:12" x14ac:dyDescent="0.3">
      <c r="A8" s="416">
        <v>1</v>
      </c>
      <c r="B8" s="545" t="s">
        <v>549</v>
      </c>
      <c r="C8" s="118">
        <f>SUM(C9:C10)</f>
        <v>47232568.251399003</v>
      </c>
      <c r="D8" s="118">
        <f>SUM(D9:D10)</f>
        <v>0</v>
      </c>
      <c r="E8" s="118">
        <f>SUM(E9:E10)</f>
        <v>0</v>
      </c>
      <c r="F8" s="118">
        <f>SUM(F9)</f>
        <v>2875000</v>
      </c>
      <c r="G8" s="546">
        <f>SUM(G9)</f>
        <v>50107568.251399003</v>
      </c>
      <c r="H8" s="778"/>
    </row>
    <row r="9" spans="1:12" x14ac:dyDescent="0.3">
      <c r="A9" s="416">
        <v>2</v>
      </c>
      <c r="B9" s="547" t="s">
        <v>20</v>
      </c>
      <c r="C9" s="118">
        <v>47232568.251399003</v>
      </c>
      <c r="D9" s="118"/>
      <c r="E9" s="118"/>
      <c r="F9" s="118">
        <v>2875000</v>
      </c>
      <c r="G9" s="546">
        <f>SUM(C9:F9)*1</f>
        <v>50107568.251399003</v>
      </c>
      <c r="H9" s="778"/>
    </row>
    <row r="10" spans="1:12" x14ac:dyDescent="0.3">
      <c r="A10" s="416">
        <v>3</v>
      </c>
      <c r="B10" s="547" t="s">
        <v>550</v>
      </c>
      <c r="C10" s="548"/>
      <c r="D10" s="548"/>
      <c r="E10" s="548"/>
      <c r="F10" s="118">
        <v>6093723.7000000002</v>
      </c>
      <c r="G10" s="546">
        <f>SUM(C10:F10)*1</f>
        <v>6093723.7000000002</v>
      </c>
      <c r="H10" s="778"/>
    </row>
    <row r="11" spans="1:12" x14ac:dyDescent="0.3">
      <c r="A11" s="416">
        <v>4</v>
      </c>
      <c r="B11" s="545" t="s">
        <v>551</v>
      </c>
      <c r="C11" s="118">
        <f>SUM(C12:C13)</f>
        <v>5310900.6699999953</v>
      </c>
      <c r="D11" s="118">
        <f>SUM(D12:D13)</f>
        <v>809191.59000000008</v>
      </c>
      <c r="E11" s="118">
        <f>SUM(E12:E13)</f>
        <v>15035522.25</v>
      </c>
      <c r="F11" s="118">
        <f>SUM(F12:F13)</f>
        <v>42879.58</v>
      </c>
      <c r="G11" s="546">
        <f>SUM(G12:G13)</f>
        <v>19991909.273499992</v>
      </c>
      <c r="H11" s="778"/>
    </row>
    <row r="12" spans="1:12" x14ac:dyDescent="0.3">
      <c r="A12" s="416">
        <v>5</v>
      </c>
      <c r="B12" s="547" t="s">
        <v>552</v>
      </c>
      <c r="C12" s="118">
        <v>5027041.2399999956</v>
      </c>
      <c r="D12" s="126">
        <v>809191.59000000008</v>
      </c>
      <c r="E12" s="118">
        <v>14993470.32</v>
      </c>
      <c r="F12" s="118">
        <v>42879.58</v>
      </c>
      <c r="G12" s="546">
        <f>SUM(C12:F12)*0.95</f>
        <v>19828953.593499992</v>
      </c>
      <c r="H12" s="778"/>
      <c r="J12" s="134"/>
      <c r="K12" s="549"/>
      <c r="L12" s="134"/>
    </row>
    <row r="13" spans="1:12" x14ac:dyDescent="0.3">
      <c r="A13" s="416">
        <v>6</v>
      </c>
      <c r="B13" s="547" t="s">
        <v>553</v>
      </c>
      <c r="C13" s="118">
        <v>283859.43</v>
      </c>
      <c r="D13" s="126">
        <v>0</v>
      </c>
      <c r="E13" s="118">
        <v>42051.93</v>
      </c>
      <c r="F13" s="118">
        <v>0</v>
      </c>
      <c r="G13" s="546">
        <f>SUM(C13:F13)/2</f>
        <v>162955.68</v>
      </c>
      <c r="H13" s="778"/>
      <c r="L13" s="134">
        <f>L11-L12</f>
        <v>0</v>
      </c>
    </row>
    <row r="14" spans="1:12" x14ac:dyDescent="0.3">
      <c r="A14" s="416">
        <v>7</v>
      </c>
      <c r="B14" s="545" t="s">
        <v>554</v>
      </c>
      <c r="C14" s="118">
        <f>SUM(C15:C16)</f>
        <v>7123040.2499999981</v>
      </c>
      <c r="D14" s="118">
        <f>SUM(D15:D16)</f>
        <v>3783789.75</v>
      </c>
      <c r="E14" s="118">
        <f>SUM(E15:E16)</f>
        <v>51689263.880000003</v>
      </c>
      <c r="F14" s="118">
        <f>SUM(F15:F16)</f>
        <v>172139.6</v>
      </c>
      <c r="G14" s="546">
        <f>SUM(G15:G16)</f>
        <v>30463033.110000003</v>
      </c>
      <c r="H14" s="778"/>
      <c r="L14" s="134"/>
    </row>
    <row r="15" spans="1:12" ht="55.2" x14ac:dyDescent="0.3">
      <c r="A15" s="416">
        <v>8</v>
      </c>
      <c r="B15" s="550" t="s">
        <v>555</v>
      </c>
      <c r="C15" s="118">
        <v>5280872.9899999984</v>
      </c>
      <c r="D15" s="551">
        <v>3783789.75</v>
      </c>
      <c r="E15" s="551">
        <v>51689263.880000003</v>
      </c>
      <c r="F15" s="551">
        <v>172139.6</v>
      </c>
      <c r="G15" s="546">
        <f>SUM(C15:F15)/2</f>
        <v>30463033.110000003</v>
      </c>
      <c r="H15" s="778"/>
      <c r="I15" s="778"/>
      <c r="K15" s="138"/>
      <c r="L15" s="134"/>
    </row>
    <row r="16" spans="1:12" ht="27.6" x14ac:dyDescent="0.3">
      <c r="A16" s="416">
        <v>9</v>
      </c>
      <c r="B16" s="547" t="s">
        <v>556</v>
      </c>
      <c r="C16" s="552">
        <v>1842167.2600000002</v>
      </c>
      <c r="D16" s="552">
        <f>'2. SOFP'!E43</f>
        <v>0</v>
      </c>
      <c r="E16" s="118"/>
      <c r="F16" s="118"/>
      <c r="G16" s="546">
        <f>C16*0+D16*0</f>
        <v>0</v>
      </c>
    </row>
    <row r="17" spans="1:9" x14ac:dyDescent="0.3">
      <c r="A17" s="416">
        <v>10</v>
      </c>
      <c r="B17" s="545" t="s">
        <v>557</v>
      </c>
      <c r="C17" s="118"/>
      <c r="D17" s="126"/>
      <c r="E17" s="118"/>
      <c r="F17" s="118"/>
      <c r="G17" s="546"/>
    </row>
    <row r="18" spans="1:9" x14ac:dyDescent="0.3">
      <c r="A18" s="416">
        <v>11</v>
      </c>
      <c r="B18" s="545" t="s">
        <v>146</v>
      </c>
      <c r="C18" s="118">
        <f>SUM(C19:C20)</f>
        <v>4407764.0691695195</v>
      </c>
      <c r="D18" s="126">
        <f>SUM(D19:D20)</f>
        <v>48254.84601303783</v>
      </c>
      <c r="E18" s="118">
        <f>SUM(E19:E20)</f>
        <v>0</v>
      </c>
      <c r="F18" s="118">
        <f>SUM(F19:F20)</f>
        <v>0</v>
      </c>
      <c r="G18" s="546">
        <f>SUM(G19:G20)</f>
        <v>0</v>
      </c>
    </row>
    <row r="19" spans="1:9" x14ac:dyDescent="0.3">
      <c r="A19" s="416">
        <v>12</v>
      </c>
      <c r="B19" s="547" t="s">
        <v>558</v>
      </c>
      <c r="C19" s="548"/>
      <c r="D19" s="126">
        <v>48254.84601303783</v>
      </c>
      <c r="E19" s="118"/>
      <c r="F19" s="118"/>
      <c r="G19" s="546">
        <f>D19*0</f>
        <v>0</v>
      </c>
      <c r="H19" s="243"/>
    </row>
    <row r="20" spans="1:9" ht="27.6" x14ac:dyDescent="0.3">
      <c r="A20" s="416">
        <v>13</v>
      </c>
      <c r="B20" s="547" t="s">
        <v>559</v>
      </c>
      <c r="C20" s="118">
        <v>4407764.0691695195</v>
      </c>
      <c r="D20" s="118"/>
      <c r="E20" s="118"/>
      <c r="F20" s="118"/>
      <c r="G20" s="546">
        <f>C20*0</f>
        <v>0</v>
      </c>
      <c r="H20" s="778"/>
    </row>
    <row r="21" spans="1:9" x14ac:dyDescent="0.3">
      <c r="A21" s="553">
        <v>14</v>
      </c>
      <c r="B21" s="554" t="s">
        <v>560</v>
      </c>
      <c r="C21" s="548"/>
      <c r="D21" s="548"/>
      <c r="E21" s="548"/>
      <c r="F21" s="548"/>
      <c r="G21" s="555">
        <f>SUM(G8,G11,G14,G17,G18,G10)</f>
        <v>106656234.33489899</v>
      </c>
      <c r="H21" s="778"/>
    </row>
    <row r="22" spans="1:9" x14ac:dyDescent="0.3">
      <c r="A22" s="556"/>
      <c r="B22" s="557" t="s">
        <v>94</v>
      </c>
      <c r="C22" s="558"/>
      <c r="D22" s="559"/>
      <c r="E22" s="558"/>
      <c r="F22" s="558"/>
      <c r="G22" s="560"/>
    </row>
    <row r="23" spans="1:9" x14ac:dyDescent="0.3">
      <c r="A23" s="416">
        <v>15</v>
      </c>
      <c r="B23" s="545" t="s">
        <v>469</v>
      </c>
      <c r="C23" s="121">
        <v>90122193.050000042</v>
      </c>
      <c r="D23" s="121"/>
      <c r="E23" s="121"/>
      <c r="F23" s="121">
        <v>53566</v>
      </c>
      <c r="G23" s="561">
        <v>4062434.3100000005</v>
      </c>
      <c r="H23" s="778"/>
      <c r="I23" s="778"/>
    </row>
    <row r="24" spans="1:9" x14ac:dyDescent="0.3">
      <c r="A24" s="416">
        <v>16</v>
      </c>
      <c r="B24" s="545" t="s">
        <v>561</v>
      </c>
      <c r="C24" s="118">
        <f>SUM(C25:C27,C29,C31)</f>
        <v>0</v>
      </c>
      <c r="D24" s="126">
        <f>SUM(D25:D27,D29,D31)</f>
        <v>950596.56150258123</v>
      </c>
      <c r="E24" s="118">
        <f>SUM(E25:E27,E29,E31)</f>
        <v>2798469.9886622811</v>
      </c>
      <c r="F24" s="118">
        <f>SUM(F25:F27,F29,F31)</f>
        <v>28412697.651141081</v>
      </c>
      <c r="G24" s="546">
        <f>SUM(G25:G27,G29,G31)</f>
        <v>26074025.199805651</v>
      </c>
      <c r="I24" s="778"/>
    </row>
    <row r="25" spans="1:9" ht="27.6" x14ac:dyDescent="0.3">
      <c r="A25" s="416">
        <v>17</v>
      </c>
      <c r="B25" s="547" t="s">
        <v>562</v>
      </c>
      <c r="C25" s="118"/>
      <c r="D25" s="126"/>
      <c r="E25" s="118"/>
      <c r="F25" s="118"/>
      <c r="G25" s="546"/>
    </row>
    <row r="26" spans="1:9" ht="27.6" x14ac:dyDescent="0.3">
      <c r="A26" s="416">
        <v>18</v>
      </c>
      <c r="B26" s="547" t="s">
        <v>563</v>
      </c>
      <c r="C26" s="118"/>
      <c r="D26" s="126">
        <v>302262.16000000003</v>
      </c>
      <c r="E26" s="118"/>
      <c r="F26" s="118"/>
      <c r="G26" s="546">
        <f>D26*0.15</f>
        <v>45339.324000000001</v>
      </c>
      <c r="H26" s="778"/>
      <c r="I26" s="778"/>
    </row>
    <row r="27" spans="1:9" x14ac:dyDescent="0.3">
      <c r="A27" s="416">
        <v>19</v>
      </c>
      <c r="B27" s="547" t="s">
        <v>564</v>
      </c>
      <c r="C27" s="118"/>
      <c r="D27" s="121">
        <v>648334.4015025812</v>
      </c>
      <c r="E27" s="121">
        <v>2765429.0392843168</v>
      </c>
      <c r="F27" s="121">
        <v>27199074.858323388</v>
      </c>
      <c r="G27" s="546">
        <v>24980586.027221628</v>
      </c>
      <c r="H27" s="778"/>
      <c r="I27" s="778"/>
    </row>
    <row r="28" spans="1:9" x14ac:dyDescent="0.3">
      <c r="A28" s="416">
        <v>20</v>
      </c>
      <c r="B28" s="562" t="s">
        <v>565</v>
      </c>
      <c r="C28" s="118"/>
      <c r="E28" s="118"/>
      <c r="F28" s="118"/>
      <c r="G28" s="546"/>
    </row>
    <row r="29" spans="1:9" x14ac:dyDescent="0.3">
      <c r="A29" s="416">
        <v>21</v>
      </c>
      <c r="B29" s="547" t="s">
        <v>566</v>
      </c>
      <c r="C29" s="118"/>
      <c r="D29" s="126"/>
      <c r="E29" s="118"/>
      <c r="F29" s="118"/>
      <c r="G29" s="546"/>
    </row>
    <row r="30" spans="1:9" x14ac:dyDescent="0.3">
      <c r="A30" s="416">
        <v>22</v>
      </c>
      <c r="B30" s="562" t="s">
        <v>565</v>
      </c>
      <c r="C30" s="118"/>
      <c r="D30" s="126"/>
      <c r="E30" s="118"/>
      <c r="F30" s="118"/>
      <c r="G30" s="546"/>
    </row>
    <row r="31" spans="1:9" x14ac:dyDescent="0.3">
      <c r="A31" s="416">
        <v>23</v>
      </c>
      <c r="B31" s="547" t="s">
        <v>567</v>
      </c>
      <c r="C31" s="118"/>
      <c r="D31" s="121">
        <v>0</v>
      </c>
      <c r="E31" s="121">
        <v>33040.949377964484</v>
      </c>
      <c r="F31" s="118">
        <v>1213622.7928176941</v>
      </c>
      <c r="G31" s="546">
        <f>E31*0.5+F31*0.85</f>
        <v>1048099.8485840223</v>
      </c>
      <c r="H31" s="778"/>
      <c r="I31"/>
    </row>
    <row r="32" spans="1:9" x14ac:dyDescent="0.3">
      <c r="A32" s="416">
        <v>24</v>
      </c>
      <c r="B32" s="545" t="s">
        <v>568</v>
      </c>
      <c r="C32" s="118"/>
      <c r="D32" s="126"/>
      <c r="E32" s="118"/>
      <c r="F32" s="118"/>
      <c r="G32" s="546"/>
    </row>
    <row r="33" spans="1:9" x14ac:dyDescent="0.3">
      <c r="A33" s="416">
        <v>25</v>
      </c>
      <c r="B33" s="545" t="s">
        <v>129</v>
      </c>
      <c r="C33" s="118">
        <f>SUM(C34:C35)</f>
        <v>14894639.881004237</v>
      </c>
      <c r="D33" s="118">
        <f>SUM(D34:D35)</f>
        <v>705208.78676377446</v>
      </c>
      <c r="E33" s="118">
        <f>SUM(E34:E35)</f>
        <v>0</v>
      </c>
      <c r="F33" s="118">
        <f>SUM(F34:F35)</f>
        <v>6686666.7615073873</v>
      </c>
      <c r="G33" s="546">
        <f>SUM(G34:G35)</f>
        <v>21946656.035893511</v>
      </c>
    </row>
    <row r="34" spans="1:9" x14ac:dyDescent="0.3">
      <c r="A34" s="416">
        <v>26</v>
      </c>
      <c r="B34" s="547" t="s">
        <v>569</v>
      </c>
      <c r="C34" s="548"/>
      <c r="D34" s="126">
        <v>25490</v>
      </c>
      <c r="E34" s="118"/>
      <c r="F34" s="118"/>
      <c r="G34" s="546">
        <f>D34*1</f>
        <v>25490</v>
      </c>
      <c r="H34" s="778"/>
      <c r="I34" s="778"/>
    </row>
    <row r="35" spans="1:9" x14ac:dyDescent="0.3">
      <c r="A35" s="416">
        <v>27</v>
      </c>
      <c r="B35" s="547" t="s">
        <v>570</v>
      </c>
      <c r="C35" s="118">
        <f>'2. SOFP'!E25-'2. SOFP'!C64-'2. SOFP'!C29</f>
        <v>14894639.881004237</v>
      </c>
      <c r="D35" s="126">
        <v>679718.78676377446</v>
      </c>
      <c r="E35" s="118"/>
      <c r="F35" s="118">
        <v>6686666.7615073873</v>
      </c>
      <c r="G35" s="546">
        <f>C35+D35*0.5+F35</f>
        <v>21921166.035893511</v>
      </c>
      <c r="H35" s="778"/>
    </row>
    <row r="36" spans="1:9" x14ac:dyDescent="0.3">
      <c r="A36" s="416">
        <v>28</v>
      </c>
      <c r="B36" s="545" t="s">
        <v>571</v>
      </c>
      <c r="C36" s="118"/>
      <c r="D36" s="126">
        <v>3024976.73</v>
      </c>
      <c r="E36" s="118">
        <v>3269796.16</v>
      </c>
      <c r="F36" s="118">
        <v>556283</v>
      </c>
      <c r="G36" s="546">
        <f>D36*0.05+E36*0.1+F36*0.15</f>
        <v>561670.90249999997</v>
      </c>
    </row>
    <row r="37" spans="1:9" x14ac:dyDescent="0.3">
      <c r="A37" s="553">
        <v>29</v>
      </c>
      <c r="B37" s="554" t="s">
        <v>572</v>
      </c>
      <c r="C37" s="548"/>
      <c r="D37" s="548"/>
      <c r="E37" s="548"/>
      <c r="F37" s="548"/>
      <c r="G37" s="555">
        <f>SUM(G23:G24,G32:G33,G36)</f>
        <v>52644786.448199168</v>
      </c>
      <c r="H37" s="778"/>
      <c r="I37" s="778"/>
    </row>
    <row r="38" spans="1:9" x14ac:dyDescent="0.3">
      <c r="A38" s="541"/>
      <c r="B38" s="563"/>
      <c r="C38" s="564"/>
      <c r="D38" s="564"/>
      <c r="E38" s="564"/>
      <c r="F38" s="564"/>
      <c r="G38" s="565"/>
    </row>
    <row r="39" spans="1:9" ht="15" thickBot="1" x14ac:dyDescent="0.35">
      <c r="A39" s="566">
        <v>30</v>
      </c>
      <c r="B39" s="567" t="s">
        <v>30</v>
      </c>
      <c r="C39" s="568"/>
      <c r="D39" s="460"/>
      <c r="E39" s="460"/>
      <c r="F39" s="461"/>
      <c r="G39" s="569">
        <f>IFERROR(G21/G37,0)</f>
        <v>2.0259600528505404</v>
      </c>
      <c r="I39" s="775"/>
    </row>
    <row r="42" spans="1:9" ht="27.6" x14ac:dyDescent="0.3">
      <c r="B42" s="109" t="s">
        <v>573</v>
      </c>
    </row>
  </sheetData>
  <mergeCells count="2">
    <mergeCell ref="C5:F5"/>
    <mergeCell ref="G5:G6"/>
  </mergeCells>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F234-A525-47A0-9969-E0409404D945}">
  <dimension ref="A1:AE51"/>
  <sheetViews>
    <sheetView zoomScaleNormal="130" workbookViewId="0">
      <pane xSplit="1" ySplit="5" topLeftCell="B29" activePane="bottomRight" state="frozen"/>
      <selection activeCell="C8" sqref="C8"/>
      <selection pane="topRight" activeCell="C8" sqref="C8"/>
      <selection pane="bottomLeft" activeCell="C8" sqref="C8"/>
      <selection pane="bottomRight" activeCell="F50" sqref="F50"/>
    </sheetView>
  </sheetViews>
  <sheetFormatPr defaultRowHeight="14.4" x14ac:dyDescent="0.3"/>
  <cols>
    <col min="1" max="1" width="9.5546875" style="108" bestFit="1" customWidth="1"/>
    <col min="2" max="2" width="55.33203125" style="23" customWidth="1"/>
    <col min="3" max="3" width="12.6640625" style="23" customWidth="1"/>
    <col min="4" max="6" width="12.6640625" style="20" customWidth="1"/>
    <col min="7" max="7" width="15" style="20" customWidth="1"/>
    <col min="8" max="8" width="15.44140625" customWidth="1"/>
    <col min="9" max="12" width="14.88671875" customWidth="1"/>
    <col min="13" max="13" width="6.6640625" customWidth="1"/>
    <col min="28" max="28" width="11.33203125" bestFit="1" customWidth="1"/>
  </cols>
  <sheetData>
    <row r="1" spans="1:31" x14ac:dyDescent="0.3">
      <c r="A1" s="21" t="s">
        <v>41</v>
      </c>
      <c r="B1" s="22" t="str">
        <f>Info!C2</f>
        <v>სს სილქ ბანკი</v>
      </c>
    </row>
    <row r="2" spans="1:31" x14ac:dyDescent="0.3">
      <c r="A2" s="21" t="s">
        <v>42</v>
      </c>
      <c r="B2" s="24">
        <v>45199</v>
      </c>
    </row>
    <row r="3" spans="1:31" ht="15" thickBot="1" x14ac:dyDescent="0.35">
      <c r="A3" s="21"/>
      <c r="X3" s="25" t="s">
        <v>43</v>
      </c>
    </row>
    <row r="4" spans="1:31" ht="40.5" customHeight="1" thickBot="1" x14ac:dyDescent="0.35">
      <c r="A4" s="26" t="s">
        <v>44</v>
      </c>
      <c r="B4" s="27" t="s">
        <v>12</v>
      </c>
      <c r="C4" s="28"/>
      <c r="D4" s="807" t="s">
        <v>45</v>
      </c>
      <c r="E4" s="808"/>
      <c r="F4" s="808"/>
      <c r="G4" s="809"/>
      <c r="I4" s="810" t="s">
        <v>46</v>
      </c>
      <c r="J4" s="811"/>
      <c r="K4" s="811"/>
      <c r="L4" s="812"/>
      <c r="Y4" t="s">
        <v>45</v>
      </c>
    </row>
    <row r="5" spans="1:31" x14ac:dyDescent="0.3">
      <c r="A5" s="29" t="s">
        <v>47</v>
      </c>
      <c r="B5" s="30"/>
      <c r="C5" s="31" t="str">
        <f>INT((MONTH($B$2))/3)&amp;"Q"&amp;"-"&amp;YEAR($B$2)</f>
        <v>3Q-2023</v>
      </c>
      <c r="D5" s="31" t="str">
        <f>IF(INT(MONTH($B$2))=3, "4"&amp;"Q"&amp;"-"&amp;YEAR($B$2)-1, IF(INT(MONTH($B$2))=6, "1"&amp;"Q"&amp;"-"&amp;YEAR($B$2), IF(INT(MONTH($B$2))=9, "2"&amp;"Q"&amp;"-"&amp;YEAR($B$2),IF(INT(MONTH($B$2))=12, "3"&amp;"Q"&amp;"-"&amp;YEAR($B$2), 0))))</f>
        <v>2Q-2023</v>
      </c>
      <c r="E5" s="31" t="str">
        <f>IF(INT(MONTH($B$2))=3, "3"&amp;"Q"&amp;"-"&amp;YEAR($B$2)-1, IF(INT(MONTH($B$2))=6, "4"&amp;"Q"&amp;"-"&amp;YEAR($B$2)-1, IF(INT(MONTH($B$2))=9, "1"&amp;"Q"&amp;"-"&amp;YEAR($B$2),IF(INT(MONTH($B$2))=12, "2"&amp;"Q"&amp;"-"&amp;YEAR($B$2), 0))))</f>
        <v>1Q-2023</v>
      </c>
      <c r="F5" s="31" t="str">
        <f>IF(INT(MONTH($B$2))=3, "2"&amp;"Q"&amp;"-"&amp;YEAR($B$2)-1, IF(INT(MONTH($B$2))=6, "3"&amp;"Q"&amp;"-"&amp;YEAR($B$2)-1, IF(INT(MONTH($B$2))=9, "4"&amp;"Q"&amp;"-"&amp;YEAR($B$2)-1,IF(INT(MONTH($B$2))=12, "1"&amp;"Q"&amp;"-"&amp;YEAR($B$2), 0))))</f>
        <v>4Q-2022</v>
      </c>
      <c r="G5" s="32" t="str">
        <f>IF(INT(MONTH($B$2))=3, "1"&amp;"Q"&amp;"-"&amp;YEAR($B$2)-1, IF(INT(MONTH($B$2))=6, "2"&amp;"Q"&amp;"-"&amp;YEAR($B$2)-1, IF(INT(MONTH($B$2))=9, "3"&amp;"Q"&amp;"-"&amp;YEAR($B$2)-1,IF(INT(MONTH($B$2))=12, "4"&amp;"Q"&amp;"-"&amp;YEAR($B$2)-1, 0))))</f>
        <v>3Q-2022</v>
      </c>
      <c r="I5" s="33" t="s">
        <v>48</v>
      </c>
      <c r="J5" s="31" t="s">
        <v>49</v>
      </c>
      <c r="K5" s="33" t="s">
        <v>50</v>
      </c>
      <c r="L5" s="31" t="s">
        <v>51</v>
      </c>
      <c r="N5" t="s">
        <v>52</v>
      </c>
      <c r="O5" t="s">
        <v>53</v>
      </c>
      <c r="P5" t="s">
        <v>54</v>
      </c>
      <c r="Q5" t="s">
        <v>55</v>
      </c>
      <c r="X5" t="s">
        <v>56</v>
      </c>
      <c r="Y5" t="s">
        <v>57</v>
      </c>
      <c r="Z5" t="s">
        <v>48</v>
      </c>
      <c r="AA5" t="s">
        <v>49</v>
      </c>
    </row>
    <row r="6" spans="1:31" x14ac:dyDescent="0.3">
      <c r="A6" s="34"/>
      <c r="B6" s="35" t="s">
        <v>58</v>
      </c>
      <c r="C6" s="813"/>
      <c r="D6" s="802"/>
      <c r="E6" s="802"/>
      <c r="F6" s="802"/>
      <c r="G6" s="803"/>
      <c r="I6" s="801"/>
      <c r="J6" s="802"/>
      <c r="K6" s="802"/>
      <c r="L6" s="803"/>
    </row>
    <row r="7" spans="1:31" x14ac:dyDescent="0.3">
      <c r="A7" s="34"/>
      <c r="B7" s="36" t="s">
        <v>59</v>
      </c>
      <c r="C7" s="814"/>
      <c r="D7" s="805"/>
      <c r="E7" s="805"/>
      <c r="F7" s="805"/>
      <c r="G7" s="806"/>
      <c r="I7" s="804"/>
      <c r="J7" s="805"/>
      <c r="K7" s="805"/>
      <c r="L7" s="806"/>
    </row>
    <row r="8" spans="1:31" x14ac:dyDescent="0.3">
      <c r="A8" s="37">
        <v>1</v>
      </c>
      <c r="B8" s="38" t="s">
        <v>60</v>
      </c>
      <c r="C8" s="39">
        <f>'9. Capital'!C29</f>
        <v>47232568.251399003</v>
      </c>
      <c r="D8" s="40">
        <v>49454613.058878683</v>
      </c>
      <c r="E8" s="40">
        <v>50701215.87856701</v>
      </c>
      <c r="F8" s="40">
        <v>52357110.058280259</v>
      </c>
      <c r="G8" s="41">
        <v>51696103.10465353</v>
      </c>
      <c r="I8" s="42">
        <v>48511184.540000007</v>
      </c>
      <c r="J8" s="40">
        <v>47033072.099999994</v>
      </c>
      <c r="K8" s="40">
        <v>47669109.719999999</v>
      </c>
      <c r="L8" s="41">
        <v>48782730.109999999</v>
      </c>
      <c r="N8">
        <v>48511184.540000007</v>
      </c>
      <c r="O8">
        <v>47033072.099999994</v>
      </c>
      <c r="P8">
        <v>47669109.719999999</v>
      </c>
      <c r="Q8">
        <v>48782730.109999999</v>
      </c>
      <c r="S8" t="b">
        <f>I8=N8</f>
        <v>1</v>
      </c>
      <c r="T8" t="b">
        <f>J8=O8</f>
        <v>1</v>
      </c>
      <c r="U8" t="b">
        <f>K8=P8</f>
        <v>1</v>
      </c>
      <c r="V8" t="b">
        <f>L8=Q8</f>
        <v>1</v>
      </c>
      <c r="X8">
        <v>49454613.058878683</v>
      </c>
      <c r="Y8">
        <v>50701215.87856701</v>
      </c>
      <c r="Z8">
        <v>52357110.058280259</v>
      </c>
      <c r="AA8">
        <v>51696103.10465353</v>
      </c>
      <c r="AB8" s="43">
        <f t="shared" ref="AB8:AE13" si="0">D8-X8</f>
        <v>0</v>
      </c>
      <c r="AC8" s="43">
        <f t="shared" si="0"/>
        <v>0</v>
      </c>
      <c r="AD8" s="43">
        <f t="shared" si="0"/>
        <v>0</v>
      </c>
      <c r="AE8" s="43">
        <f t="shared" si="0"/>
        <v>0</v>
      </c>
    </row>
    <row r="9" spans="1:31" x14ac:dyDescent="0.3">
      <c r="A9" s="37">
        <v>2</v>
      </c>
      <c r="B9" s="38" t="s">
        <v>61</v>
      </c>
      <c r="C9" s="39">
        <f>'9. Capital'!C29</f>
        <v>47232568.251399003</v>
      </c>
      <c r="D9" s="40">
        <v>49454613.058878683</v>
      </c>
      <c r="E9" s="40">
        <v>50701215.87856701</v>
      </c>
      <c r="F9" s="40">
        <v>52357110.058280259</v>
      </c>
      <c r="G9" s="41">
        <v>51696103.10465353</v>
      </c>
      <c r="I9" s="42">
        <v>48511184.540000007</v>
      </c>
      <c r="J9" s="40">
        <v>47033072.099999994</v>
      </c>
      <c r="K9" s="40">
        <v>47669109.719999999</v>
      </c>
      <c r="L9" s="41">
        <v>48782730.109999999</v>
      </c>
      <c r="N9">
        <v>48511184.540000007</v>
      </c>
      <c r="O9">
        <v>47033072.099999994</v>
      </c>
      <c r="P9">
        <v>47669109.719999999</v>
      </c>
      <c r="Q9">
        <v>48782730.109999999</v>
      </c>
      <c r="S9" t="b">
        <f t="shared" ref="S9:V48" si="1">I9=N9</f>
        <v>1</v>
      </c>
      <c r="T9" t="b">
        <f t="shared" si="1"/>
        <v>1</v>
      </c>
      <c r="U9" t="b">
        <f t="shared" si="1"/>
        <v>1</v>
      </c>
      <c r="V9" t="b">
        <f t="shared" si="1"/>
        <v>1</v>
      </c>
      <c r="X9">
        <v>49454613.058878683</v>
      </c>
      <c r="Y9">
        <v>50701215.87856701</v>
      </c>
      <c r="Z9">
        <v>52357110.058280259</v>
      </c>
      <c r="AA9">
        <v>51696103.10465353</v>
      </c>
      <c r="AB9" s="43">
        <f t="shared" si="0"/>
        <v>0</v>
      </c>
      <c r="AC9" s="43">
        <f t="shared" si="0"/>
        <v>0</v>
      </c>
      <c r="AD9" s="43">
        <f t="shared" si="0"/>
        <v>0</v>
      </c>
      <c r="AE9" s="43">
        <f t="shared" si="0"/>
        <v>0</v>
      </c>
    </row>
    <row r="10" spans="1:31" x14ac:dyDescent="0.3">
      <c r="A10" s="37">
        <v>3</v>
      </c>
      <c r="B10" s="38" t="s">
        <v>20</v>
      </c>
      <c r="C10" s="39">
        <f>'9. Capital'!C29+'9. Capital'!C44</f>
        <v>50107568.251399003</v>
      </c>
      <c r="D10" s="40">
        <v>52329613.058878683</v>
      </c>
      <c r="E10" s="40">
        <v>53576215.87856701</v>
      </c>
      <c r="F10" s="40">
        <v>55232110.058280259</v>
      </c>
      <c r="G10" s="41">
        <v>54571103.10465353</v>
      </c>
      <c r="H10" s="44"/>
      <c r="I10" s="42">
        <v>51806334.150000006</v>
      </c>
      <c r="J10" s="40">
        <v>50425926.109999992</v>
      </c>
      <c r="K10" s="40">
        <v>50544809.549999997</v>
      </c>
      <c r="L10" s="41">
        <v>51647000.859999999</v>
      </c>
      <c r="N10">
        <v>51806334.150000006</v>
      </c>
      <c r="O10">
        <v>50425926.109999992</v>
      </c>
      <c r="P10">
        <v>50544809.549999997</v>
      </c>
      <c r="Q10">
        <v>51647000.859999999</v>
      </c>
      <c r="S10" t="b">
        <f t="shared" si="1"/>
        <v>1</v>
      </c>
      <c r="T10" t="b">
        <f t="shared" si="1"/>
        <v>1</v>
      </c>
      <c r="U10" t="b">
        <f t="shared" si="1"/>
        <v>1</v>
      </c>
      <c r="V10" t="b">
        <f t="shared" si="1"/>
        <v>1</v>
      </c>
      <c r="X10">
        <v>52329613.058878683</v>
      </c>
      <c r="Y10">
        <v>53576215.87856701</v>
      </c>
      <c r="Z10">
        <v>55232110.058280259</v>
      </c>
      <c r="AA10">
        <v>54571103.10465353</v>
      </c>
      <c r="AB10" s="43">
        <f t="shared" si="0"/>
        <v>0</v>
      </c>
      <c r="AC10" s="43">
        <f t="shared" si="0"/>
        <v>0</v>
      </c>
      <c r="AD10" s="43">
        <f t="shared" si="0"/>
        <v>0</v>
      </c>
      <c r="AE10" s="43">
        <f t="shared" si="0"/>
        <v>0</v>
      </c>
    </row>
    <row r="11" spans="1:31" x14ac:dyDescent="0.3">
      <c r="A11" s="37">
        <v>4</v>
      </c>
      <c r="B11" s="38" t="s">
        <v>62</v>
      </c>
      <c r="C11" s="39">
        <v>13538236.495725883</v>
      </c>
      <c r="D11" s="40">
        <v>11640056.833975865</v>
      </c>
      <c r="E11" s="40">
        <v>10119514.466354832</v>
      </c>
      <c r="F11" s="40">
        <v>9869797.0652740672</v>
      </c>
      <c r="G11" s="41">
        <v>11345324.36468773</v>
      </c>
      <c r="I11" s="42">
        <v>6435500.856027049</v>
      </c>
      <c r="J11" s="40">
        <v>7730929.6487218384</v>
      </c>
      <c r="K11" s="40">
        <v>5206706.6113385735</v>
      </c>
      <c r="L11" s="41">
        <v>6735696.2838718379</v>
      </c>
      <c r="N11">
        <v>6435500.856027049</v>
      </c>
      <c r="O11">
        <v>7730929.6487218384</v>
      </c>
      <c r="P11">
        <v>5206706.6113385735</v>
      </c>
      <c r="Q11">
        <v>6735696.2838718379</v>
      </c>
      <c r="S11" t="b">
        <f t="shared" si="1"/>
        <v>1</v>
      </c>
      <c r="T11" t="b">
        <f t="shared" si="1"/>
        <v>1</v>
      </c>
      <c r="U11" t="b">
        <f t="shared" si="1"/>
        <v>1</v>
      </c>
      <c r="V11" t="b">
        <f t="shared" si="1"/>
        <v>1</v>
      </c>
      <c r="X11">
        <v>11640056.833975865</v>
      </c>
      <c r="Y11">
        <v>10119514.466354832</v>
      </c>
      <c r="Z11">
        <v>9869797.0652740672</v>
      </c>
      <c r="AA11">
        <v>11345324.36468773</v>
      </c>
      <c r="AB11" s="43">
        <f t="shared" si="0"/>
        <v>0</v>
      </c>
      <c r="AC11" s="43">
        <f t="shared" si="0"/>
        <v>0</v>
      </c>
      <c r="AD11" s="43">
        <f t="shared" si="0"/>
        <v>0</v>
      </c>
      <c r="AE11" s="43">
        <f t="shared" si="0"/>
        <v>0</v>
      </c>
    </row>
    <row r="12" spans="1:31" x14ac:dyDescent="0.3">
      <c r="A12" s="37">
        <v>5</v>
      </c>
      <c r="B12" s="38" t="s">
        <v>63</v>
      </c>
      <c r="C12" s="39">
        <v>17037392.591574989</v>
      </c>
      <c r="D12" s="40">
        <v>14486984.605279732</v>
      </c>
      <c r="E12" s="40">
        <v>12133949.698290095</v>
      </c>
      <c r="F12" s="40">
        <v>12081288.86648277</v>
      </c>
      <c r="G12" s="41">
        <v>13841766.856757026</v>
      </c>
      <c r="I12" s="42">
        <v>8581167.2055233996</v>
      </c>
      <c r="J12" s="40">
        <v>10308419.729979118</v>
      </c>
      <c r="K12" s="40">
        <v>6942485.309496766</v>
      </c>
      <c r="L12" s="41">
        <v>8981159.282382451</v>
      </c>
      <c r="N12">
        <v>8581167.2055233996</v>
      </c>
      <c r="O12">
        <v>10308419.729979118</v>
      </c>
      <c r="P12">
        <v>6942485.309496766</v>
      </c>
      <c r="Q12">
        <v>8981159.282382451</v>
      </c>
      <c r="S12" t="b">
        <f t="shared" si="1"/>
        <v>1</v>
      </c>
      <c r="T12" t="b">
        <f t="shared" si="1"/>
        <v>1</v>
      </c>
      <c r="U12" t="b">
        <f t="shared" si="1"/>
        <v>1</v>
      </c>
      <c r="V12" t="b">
        <f t="shared" si="1"/>
        <v>1</v>
      </c>
      <c r="X12">
        <v>14486984.605279732</v>
      </c>
      <c r="Y12">
        <v>12133949.698290095</v>
      </c>
      <c r="Z12">
        <v>12081288.86648277</v>
      </c>
      <c r="AA12">
        <v>13841766.856757026</v>
      </c>
      <c r="AB12" s="43">
        <f t="shared" si="0"/>
        <v>0</v>
      </c>
      <c r="AC12" s="43">
        <f t="shared" si="0"/>
        <v>0</v>
      </c>
      <c r="AD12" s="43">
        <f t="shared" si="0"/>
        <v>0</v>
      </c>
      <c r="AE12" s="43">
        <f t="shared" si="0"/>
        <v>0</v>
      </c>
    </row>
    <row r="13" spans="1:31" x14ac:dyDescent="0.3">
      <c r="A13" s="37">
        <v>6</v>
      </c>
      <c r="B13" s="38" t="s">
        <v>64</v>
      </c>
      <c r="C13" s="39">
        <v>21664886.055433322</v>
      </c>
      <c r="D13" s="40">
        <v>18251608.740372974</v>
      </c>
      <c r="E13" s="40">
        <v>15552177.06800996</v>
      </c>
      <c r="F13" s="40">
        <v>16711497.775026551</v>
      </c>
      <c r="G13" s="41">
        <v>19227806.539750431</v>
      </c>
      <c r="I13" s="42">
        <v>13119687.070131311</v>
      </c>
      <c r="J13" s="40">
        <v>15779925.709801527</v>
      </c>
      <c r="K13" s="40">
        <v>12782659.366280219</v>
      </c>
      <c r="L13" s="41">
        <v>15671110.145961303</v>
      </c>
      <c r="N13">
        <v>13119687.070131311</v>
      </c>
      <c r="O13">
        <v>15779925.709801527</v>
      </c>
      <c r="P13">
        <v>12782659.366280219</v>
      </c>
      <c r="Q13">
        <v>15671110.145961303</v>
      </c>
      <c r="S13" t="b">
        <f t="shared" si="1"/>
        <v>1</v>
      </c>
      <c r="T13" t="b">
        <f t="shared" si="1"/>
        <v>1</v>
      </c>
      <c r="U13" t="b">
        <f t="shared" si="1"/>
        <v>1</v>
      </c>
      <c r="V13" t="b">
        <f t="shared" si="1"/>
        <v>1</v>
      </c>
      <c r="X13">
        <v>18251608.740372974</v>
      </c>
      <c r="Y13">
        <v>15552177.06800996</v>
      </c>
      <c r="Z13">
        <v>16711497.775026551</v>
      </c>
      <c r="AA13">
        <v>19227806.539750431</v>
      </c>
      <c r="AB13" s="43">
        <f t="shared" si="0"/>
        <v>0</v>
      </c>
      <c r="AC13" s="43">
        <f t="shared" si="0"/>
        <v>0</v>
      </c>
      <c r="AD13" s="43">
        <f t="shared" si="0"/>
        <v>0</v>
      </c>
      <c r="AE13" s="43">
        <f t="shared" si="0"/>
        <v>0</v>
      </c>
    </row>
    <row r="14" spans="1:31" ht="27.6" x14ac:dyDescent="0.3">
      <c r="A14" s="34"/>
      <c r="B14" s="35" t="s">
        <v>65</v>
      </c>
      <c r="C14" s="45"/>
      <c r="D14" s="46"/>
      <c r="E14" s="46"/>
      <c r="F14" s="46"/>
      <c r="G14" s="47"/>
      <c r="I14" s="815"/>
      <c r="J14" s="816"/>
      <c r="K14" s="816"/>
      <c r="L14" s="817"/>
      <c r="S14" t="b">
        <f t="shared" si="1"/>
        <v>1</v>
      </c>
      <c r="T14" t="b">
        <f t="shared" si="1"/>
        <v>1</v>
      </c>
      <c r="U14" t="b">
        <f t="shared" si="1"/>
        <v>1</v>
      </c>
      <c r="V14" t="b">
        <f t="shared" si="1"/>
        <v>1</v>
      </c>
    </row>
    <row r="15" spans="1:31" ht="21.9" customHeight="1" x14ac:dyDescent="0.3">
      <c r="A15" s="37">
        <v>7</v>
      </c>
      <c r="B15" s="38" t="s">
        <v>66</v>
      </c>
      <c r="C15" s="48">
        <v>88694683.416122541</v>
      </c>
      <c r="D15" s="40">
        <v>70932856.834983379</v>
      </c>
      <c r="E15" s="40">
        <v>57614061.346276328</v>
      </c>
      <c r="F15" s="40">
        <v>61454294.813858084</v>
      </c>
      <c r="G15" s="40">
        <v>75106375.810502693</v>
      </c>
      <c r="I15" s="42">
        <v>57240173.042884499</v>
      </c>
      <c r="J15" s="40">
        <v>68112948.195683539</v>
      </c>
      <c r="K15" s="40">
        <v>53853117.125751503</v>
      </c>
      <c r="L15" s="41">
        <v>71891560.79072018</v>
      </c>
      <c r="N15">
        <v>57240173.042884499</v>
      </c>
      <c r="O15">
        <v>68112948.195683539</v>
      </c>
      <c r="P15">
        <v>53853117.125751503</v>
      </c>
      <c r="Q15">
        <v>71891560.79072018</v>
      </c>
      <c r="S15" t="b">
        <f t="shared" si="1"/>
        <v>1</v>
      </c>
      <c r="T15" t="b">
        <f t="shared" si="1"/>
        <v>1</v>
      </c>
      <c r="U15" t="b">
        <f t="shared" si="1"/>
        <v>1</v>
      </c>
      <c r="V15" t="b">
        <f t="shared" si="1"/>
        <v>1</v>
      </c>
      <c r="X15">
        <v>70932856.834983379</v>
      </c>
      <c r="Y15">
        <v>57614061.346276328</v>
      </c>
      <c r="Z15">
        <v>61454294.813858084</v>
      </c>
      <c r="AA15">
        <v>75106375.810502693</v>
      </c>
      <c r="AB15" s="43">
        <f>D15-X15</f>
        <v>0</v>
      </c>
      <c r="AC15" s="43">
        <f>E15-Y15</f>
        <v>0</v>
      </c>
      <c r="AD15" s="43">
        <f>F15-Z15</f>
        <v>0</v>
      </c>
      <c r="AE15" s="43">
        <f>G15-AA15</f>
        <v>0</v>
      </c>
    </row>
    <row r="16" spans="1:31" x14ac:dyDescent="0.3">
      <c r="A16" s="34"/>
      <c r="B16" s="35" t="s">
        <v>67</v>
      </c>
      <c r="C16" s="49"/>
      <c r="D16" s="50"/>
      <c r="E16" s="50"/>
      <c r="F16" s="50"/>
      <c r="G16" s="51"/>
      <c r="I16" s="801"/>
      <c r="J16" s="802"/>
      <c r="K16" s="802"/>
      <c r="L16" s="803"/>
      <c r="S16" t="b">
        <f t="shared" si="1"/>
        <v>1</v>
      </c>
      <c r="T16" t="b">
        <f t="shared" si="1"/>
        <v>1</v>
      </c>
      <c r="U16" t="b">
        <f t="shared" si="1"/>
        <v>1</v>
      </c>
      <c r="V16" t="b">
        <f t="shared" si="1"/>
        <v>1</v>
      </c>
    </row>
    <row r="17" spans="1:31" x14ac:dyDescent="0.3">
      <c r="A17" s="37"/>
      <c r="B17" s="36" t="s">
        <v>68</v>
      </c>
      <c r="C17" s="52"/>
      <c r="D17" s="53"/>
      <c r="E17" s="53"/>
      <c r="F17" s="53"/>
      <c r="G17" s="54"/>
      <c r="I17" s="804"/>
      <c r="J17" s="805"/>
      <c r="K17" s="805"/>
      <c r="L17" s="806"/>
      <c r="S17" t="b">
        <f t="shared" si="1"/>
        <v>1</v>
      </c>
      <c r="T17" t="b">
        <f t="shared" si="1"/>
        <v>1</v>
      </c>
      <c r="U17" t="b">
        <f t="shared" si="1"/>
        <v>1</v>
      </c>
      <c r="V17" t="b">
        <f t="shared" si="1"/>
        <v>1</v>
      </c>
    </row>
    <row r="18" spans="1:31" x14ac:dyDescent="0.3">
      <c r="A18" s="37">
        <v>8</v>
      </c>
      <c r="B18" s="38" t="s">
        <v>69</v>
      </c>
      <c r="C18" s="55">
        <f>C8/C$15</f>
        <v>0.53252987024939613</v>
      </c>
      <c r="D18" s="55">
        <v>0.69720317586994696</v>
      </c>
      <c r="E18" s="55">
        <v>0.88001461264531899</v>
      </c>
      <c r="F18" s="55">
        <v>0.85196828337006014</v>
      </c>
      <c r="G18" s="55">
        <v>0.68830512119351217</v>
      </c>
      <c r="I18" s="56">
        <v>0.84750240890528561</v>
      </c>
      <c r="J18" s="57">
        <v>0.6905158761426301</v>
      </c>
      <c r="K18" s="57">
        <v>0.88516899790013392</v>
      </c>
      <c r="L18" s="58">
        <v>0.67855989734329025</v>
      </c>
      <c r="N18">
        <v>0.84750240890528561</v>
      </c>
      <c r="O18">
        <v>0.6905158761426301</v>
      </c>
      <c r="P18">
        <v>0.88516899790013392</v>
      </c>
      <c r="Q18">
        <v>0.67855989734329025</v>
      </c>
      <c r="S18" t="b">
        <f t="shared" si="1"/>
        <v>1</v>
      </c>
      <c r="T18" t="b">
        <f t="shared" si="1"/>
        <v>1</v>
      </c>
      <c r="U18" t="b">
        <f t="shared" si="1"/>
        <v>1</v>
      </c>
      <c r="V18" t="b">
        <f t="shared" si="1"/>
        <v>1</v>
      </c>
      <c r="X18">
        <v>0.69720317586994696</v>
      </c>
      <c r="Y18">
        <v>0.88001461264531899</v>
      </c>
      <c r="Z18">
        <v>0.85196828337006014</v>
      </c>
      <c r="AA18">
        <v>0.68830512119351217</v>
      </c>
      <c r="AB18" s="43">
        <f t="shared" ref="AB18:AE23" si="2">D18-X18</f>
        <v>0</v>
      </c>
      <c r="AC18" s="43">
        <f t="shared" si="2"/>
        <v>0</v>
      </c>
      <c r="AD18" s="43">
        <f t="shared" si="2"/>
        <v>0</v>
      </c>
      <c r="AE18" s="43">
        <f t="shared" si="2"/>
        <v>0</v>
      </c>
    </row>
    <row r="19" spans="1:31" ht="15" customHeight="1" x14ac:dyDescent="0.3">
      <c r="A19" s="37">
        <v>9</v>
      </c>
      <c r="B19" s="38" t="s">
        <v>70</v>
      </c>
      <c r="C19" s="55">
        <f>C9/C$15</f>
        <v>0.53252987024939613</v>
      </c>
      <c r="D19" s="55">
        <v>0.69720317586994696</v>
      </c>
      <c r="E19" s="55">
        <v>0.88001461264531899</v>
      </c>
      <c r="F19" s="55">
        <v>0.85196828337006014</v>
      </c>
      <c r="G19" s="55">
        <v>0.68830512119351217</v>
      </c>
      <c r="I19" s="56">
        <v>0.84750240890528561</v>
      </c>
      <c r="J19" s="57">
        <v>0.6905158761426301</v>
      </c>
      <c r="K19" s="57">
        <v>0.88516899790013392</v>
      </c>
      <c r="L19" s="58">
        <v>0.67855989734329025</v>
      </c>
      <c r="N19">
        <v>0.84750240890528561</v>
      </c>
      <c r="O19">
        <v>0.6905158761426301</v>
      </c>
      <c r="P19">
        <v>0.88516899790013392</v>
      </c>
      <c r="Q19">
        <v>0.67855989734329025</v>
      </c>
      <c r="S19" t="b">
        <f t="shared" si="1"/>
        <v>1</v>
      </c>
      <c r="T19" t="b">
        <f t="shared" si="1"/>
        <v>1</v>
      </c>
      <c r="U19" t="b">
        <f t="shared" si="1"/>
        <v>1</v>
      </c>
      <c r="V19" t="b">
        <f t="shared" si="1"/>
        <v>1</v>
      </c>
      <c r="X19">
        <v>0.69720317586994696</v>
      </c>
      <c r="Y19">
        <v>0.88001461264531899</v>
      </c>
      <c r="Z19">
        <v>0.85196828337006014</v>
      </c>
      <c r="AA19">
        <v>0.68830512119351217</v>
      </c>
      <c r="AB19" s="43">
        <f t="shared" si="2"/>
        <v>0</v>
      </c>
      <c r="AC19" s="43">
        <f t="shared" si="2"/>
        <v>0</v>
      </c>
      <c r="AD19" s="43">
        <f t="shared" si="2"/>
        <v>0</v>
      </c>
      <c r="AE19" s="43">
        <f t="shared" si="2"/>
        <v>0</v>
      </c>
    </row>
    <row r="20" spans="1:31" x14ac:dyDescent="0.3">
      <c r="A20" s="37">
        <v>10</v>
      </c>
      <c r="B20" s="38" t="s">
        <v>71</v>
      </c>
      <c r="C20" s="55">
        <f>C10/C$15</f>
        <v>0.56494443997632737</v>
      </c>
      <c r="D20" s="55">
        <v>0.73773446317856806</v>
      </c>
      <c r="E20" s="55">
        <v>0.9299156252248777</v>
      </c>
      <c r="F20" s="55">
        <v>0.8987510185508677</v>
      </c>
      <c r="G20" s="55">
        <v>0.72658416167409368</v>
      </c>
      <c r="I20" s="56">
        <v>0.9050694887170686</v>
      </c>
      <c r="J20" s="57">
        <v>0.7403280498904552</v>
      </c>
      <c r="K20" s="57">
        <v>0.93856794643796881</v>
      </c>
      <c r="L20" s="58">
        <v>0.71840144089160796</v>
      </c>
      <c r="N20">
        <v>0.9050694887170686</v>
      </c>
      <c r="O20">
        <v>0.7403280498904552</v>
      </c>
      <c r="P20">
        <v>0.93856794643796881</v>
      </c>
      <c r="Q20">
        <v>0.71840144089160796</v>
      </c>
      <c r="S20" t="b">
        <f t="shared" si="1"/>
        <v>1</v>
      </c>
      <c r="T20" t="b">
        <f t="shared" si="1"/>
        <v>1</v>
      </c>
      <c r="U20" t="b">
        <f t="shared" si="1"/>
        <v>1</v>
      </c>
      <c r="V20" t="b">
        <f t="shared" si="1"/>
        <v>1</v>
      </c>
      <c r="X20">
        <v>0.73773446317856806</v>
      </c>
      <c r="Y20">
        <v>0.9299156252248777</v>
      </c>
      <c r="Z20">
        <v>0.8987510185508677</v>
      </c>
      <c r="AA20">
        <v>0.72658416167409368</v>
      </c>
      <c r="AB20" s="43">
        <f t="shared" si="2"/>
        <v>0</v>
      </c>
      <c r="AC20" s="43">
        <f t="shared" si="2"/>
        <v>0</v>
      </c>
      <c r="AD20" s="43">
        <f t="shared" si="2"/>
        <v>0</v>
      </c>
      <c r="AE20" s="43">
        <f t="shared" si="2"/>
        <v>0</v>
      </c>
    </row>
    <row r="21" spans="1:31" x14ac:dyDescent="0.3">
      <c r="A21" s="37">
        <v>11</v>
      </c>
      <c r="B21" s="38" t="s">
        <v>62</v>
      </c>
      <c r="C21" s="55">
        <v>0.15263864725926696</v>
      </c>
      <c r="D21" s="59">
        <v>0.16409964793967108</v>
      </c>
      <c r="E21" s="57">
        <v>0.17564313693377337</v>
      </c>
      <c r="F21" s="57">
        <v>0.16060386170192298</v>
      </c>
      <c r="G21" s="57">
        <v>0.15105674108563799</v>
      </c>
      <c r="I21" s="56">
        <v>0.11242979386532521</v>
      </c>
      <c r="J21" s="57">
        <v>0.11350161538319323</v>
      </c>
      <c r="K21" s="57">
        <v>9.6683477006177396E-2</v>
      </c>
      <c r="L21" s="58">
        <v>9.3692447483227914E-2</v>
      </c>
      <c r="N21">
        <v>0.11242979386532521</v>
      </c>
      <c r="O21">
        <v>0.11350161538319323</v>
      </c>
      <c r="P21">
        <v>9.6683477006177396E-2</v>
      </c>
      <c r="Q21">
        <v>9.3692447483227914E-2</v>
      </c>
      <c r="S21" t="b">
        <f t="shared" si="1"/>
        <v>1</v>
      </c>
      <c r="T21" t="b">
        <f t="shared" si="1"/>
        <v>1</v>
      </c>
      <c r="U21" t="b">
        <f t="shared" si="1"/>
        <v>1</v>
      </c>
      <c r="V21" t="b">
        <f t="shared" si="1"/>
        <v>1</v>
      </c>
      <c r="X21">
        <v>0.16409964793967108</v>
      </c>
      <c r="Y21">
        <v>0.17564313693377337</v>
      </c>
      <c r="Z21">
        <v>0.16060386170192298</v>
      </c>
      <c r="AA21">
        <v>0.15105674108563799</v>
      </c>
      <c r="AB21" s="43">
        <f t="shared" si="2"/>
        <v>0</v>
      </c>
      <c r="AC21" s="43">
        <f t="shared" si="2"/>
        <v>0</v>
      </c>
      <c r="AD21" s="43">
        <f t="shared" si="2"/>
        <v>0</v>
      </c>
      <c r="AE21" s="43">
        <f t="shared" si="2"/>
        <v>0</v>
      </c>
    </row>
    <row r="22" spans="1:31" x14ac:dyDescent="0.3">
      <c r="A22" s="37">
        <v>12</v>
      </c>
      <c r="B22" s="60" t="s">
        <v>63</v>
      </c>
      <c r="C22" s="55">
        <v>0.19209034786946436</v>
      </c>
      <c r="D22" s="59">
        <v>0.20423517748597003</v>
      </c>
      <c r="E22" s="57">
        <v>0.21060743531621084</v>
      </c>
      <c r="F22" s="57">
        <v>0.19658982180295739</v>
      </c>
      <c r="G22" s="57">
        <v>0.184295496985243</v>
      </c>
      <c r="I22" s="56">
        <v>0.14991511641822544</v>
      </c>
      <c r="J22" s="57">
        <v>0.151343026591123</v>
      </c>
      <c r="K22" s="57">
        <v>0.12891519897140746</v>
      </c>
      <c r="L22" s="58">
        <v>0.12492647514674277</v>
      </c>
      <c r="N22">
        <v>0.14991511641822544</v>
      </c>
      <c r="O22">
        <v>0.151343026591123</v>
      </c>
      <c r="P22">
        <v>0.12891519897140746</v>
      </c>
      <c r="Q22">
        <v>0.12492647514674277</v>
      </c>
      <c r="S22" t="b">
        <f t="shared" si="1"/>
        <v>1</v>
      </c>
      <c r="T22" t="b">
        <f t="shared" si="1"/>
        <v>1</v>
      </c>
      <c r="U22" t="b">
        <f t="shared" si="1"/>
        <v>1</v>
      </c>
      <c r="V22" t="b">
        <f t="shared" si="1"/>
        <v>1</v>
      </c>
      <c r="X22">
        <v>0.20423517748597003</v>
      </c>
      <c r="Y22">
        <v>0.21060743531621084</v>
      </c>
      <c r="Z22">
        <v>0.19658982180295739</v>
      </c>
      <c r="AA22">
        <v>0.184295496985243</v>
      </c>
      <c r="AB22" s="43">
        <f t="shared" si="2"/>
        <v>0</v>
      </c>
      <c r="AC22" s="43">
        <f t="shared" si="2"/>
        <v>0</v>
      </c>
      <c r="AD22" s="43">
        <f t="shared" si="2"/>
        <v>0</v>
      </c>
      <c r="AE22" s="43">
        <f t="shared" si="2"/>
        <v>0</v>
      </c>
    </row>
    <row r="23" spans="1:31" x14ac:dyDescent="0.3">
      <c r="A23" s="37">
        <v>13</v>
      </c>
      <c r="B23" s="38" t="s">
        <v>64</v>
      </c>
      <c r="C23" s="55">
        <v>0.24426363814603991</v>
      </c>
      <c r="D23" s="59">
        <v>0.25730824267846863</v>
      </c>
      <c r="E23" s="57">
        <v>0.26993717687314395</v>
      </c>
      <c r="F23" s="57">
        <v>0.2719337651769469</v>
      </c>
      <c r="G23" s="57">
        <v>0.2560076469175292</v>
      </c>
      <c r="I23" s="56">
        <v>0.22920418252932262</v>
      </c>
      <c r="J23" s="57">
        <v>0.23167292163696906</v>
      </c>
      <c r="K23" s="57">
        <v>0.2373615502410315</v>
      </c>
      <c r="L23" s="58">
        <v>0.2179826112216518</v>
      </c>
      <c r="N23">
        <v>0.22920418252932262</v>
      </c>
      <c r="O23">
        <v>0.23167292163696906</v>
      </c>
      <c r="P23">
        <v>0.2373615502410315</v>
      </c>
      <c r="Q23">
        <v>0.2179826112216518</v>
      </c>
      <c r="S23" t="b">
        <f t="shared" si="1"/>
        <v>1</v>
      </c>
      <c r="T23" t="b">
        <f t="shared" si="1"/>
        <v>1</v>
      </c>
      <c r="U23" t="b">
        <f t="shared" si="1"/>
        <v>1</v>
      </c>
      <c r="V23" t="b">
        <f t="shared" si="1"/>
        <v>1</v>
      </c>
      <c r="X23">
        <v>0.25730824267846863</v>
      </c>
      <c r="Y23">
        <v>0.26993717687314395</v>
      </c>
      <c r="Z23">
        <v>0.2719337651769469</v>
      </c>
      <c r="AA23">
        <v>0.2560076469175292</v>
      </c>
      <c r="AB23" s="43">
        <f t="shared" si="2"/>
        <v>0</v>
      </c>
      <c r="AC23" s="43">
        <f t="shared" si="2"/>
        <v>0</v>
      </c>
      <c r="AD23" s="43">
        <f t="shared" si="2"/>
        <v>0</v>
      </c>
      <c r="AE23" s="43">
        <f t="shared" si="2"/>
        <v>0</v>
      </c>
    </row>
    <row r="24" spans="1:31" x14ac:dyDescent="0.3">
      <c r="A24" s="34"/>
      <c r="B24" s="35" t="s">
        <v>72</v>
      </c>
      <c r="C24" s="45"/>
      <c r="D24" s="46"/>
      <c r="E24" s="46"/>
      <c r="F24" s="46"/>
      <c r="G24" s="47"/>
      <c r="I24" s="815"/>
      <c r="J24" s="816"/>
      <c r="K24" s="816"/>
      <c r="L24" s="817"/>
      <c r="S24" t="b">
        <f t="shared" si="1"/>
        <v>1</v>
      </c>
      <c r="T24" t="b">
        <f t="shared" si="1"/>
        <v>1</v>
      </c>
      <c r="U24" t="b">
        <f t="shared" si="1"/>
        <v>1</v>
      </c>
      <c r="V24" t="b">
        <f t="shared" si="1"/>
        <v>1</v>
      </c>
    </row>
    <row r="25" spans="1:31" ht="15" customHeight="1" x14ac:dyDescent="0.3">
      <c r="A25" s="61">
        <v>14</v>
      </c>
      <c r="B25" s="62" t="s">
        <v>73</v>
      </c>
      <c r="C25" s="63">
        <v>7.2860756946315566E-2</v>
      </c>
      <c r="D25" s="63">
        <v>6.3219954094251546E-2</v>
      </c>
      <c r="E25" s="64">
        <v>6.871515570245626E-2</v>
      </c>
      <c r="F25" s="64">
        <v>6.4548651401964655E-2</v>
      </c>
      <c r="G25" s="65">
        <v>6.3433396223822935E-2</v>
      </c>
      <c r="H25" s="66"/>
      <c r="I25" s="67">
        <v>6.9976078573742315E-2</v>
      </c>
      <c r="J25" s="64">
        <v>8.6712764166882422E-2</v>
      </c>
      <c r="K25" s="64">
        <v>6.8644437943282871E-2</v>
      </c>
      <c r="L25" s="65">
        <v>6.6340453031664887E-2</v>
      </c>
      <c r="N25">
        <v>6.9976078573742315E-2</v>
      </c>
      <c r="O25">
        <v>8.6712764166882422E-2</v>
      </c>
      <c r="P25">
        <v>6.8644437943282871E-2</v>
      </c>
      <c r="Q25">
        <v>6.6340453031664887E-2</v>
      </c>
      <c r="S25" t="b">
        <f t="shared" si="1"/>
        <v>1</v>
      </c>
      <c r="T25" t="b">
        <f t="shared" si="1"/>
        <v>1</v>
      </c>
      <c r="U25" t="b">
        <f t="shared" si="1"/>
        <v>1</v>
      </c>
      <c r="V25" t="b">
        <f t="shared" si="1"/>
        <v>1</v>
      </c>
      <c r="X25">
        <v>6.3219954094251546E-2</v>
      </c>
      <c r="Y25">
        <v>6.871515570245626E-2</v>
      </c>
      <c r="Z25">
        <v>6.4548651401964655E-2</v>
      </c>
      <c r="AA25">
        <v>6.3433396223822935E-2</v>
      </c>
      <c r="AB25" s="43">
        <f t="shared" ref="AB25:AE30" si="3">D25-X25</f>
        <v>0</v>
      </c>
      <c r="AC25" s="43">
        <f t="shared" si="3"/>
        <v>0</v>
      </c>
      <c r="AD25" s="43">
        <f t="shared" si="3"/>
        <v>0</v>
      </c>
      <c r="AE25" s="43">
        <f t="shared" si="3"/>
        <v>0</v>
      </c>
    </row>
    <row r="26" spans="1:31" x14ac:dyDescent="0.3">
      <c r="A26" s="61">
        <v>15</v>
      </c>
      <c r="B26" s="62" t="s">
        <v>74</v>
      </c>
      <c r="C26" s="63">
        <v>3.7486925624787927E-2</v>
      </c>
      <c r="D26" s="68">
        <v>1.9930076898371032E-2</v>
      </c>
      <c r="E26" s="64">
        <v>1.8944117503635696E-2</v>
      </c>
      <c r="F26" s="64">
        <v>2.7292070466854432E-2</v>
      </c>
      <c r="G26" s="65">
        <v>2.7741063879801957E-2</v>
      </c>
      <c r="H26" s="66"/>
      <c r="I26" s="67">
        <v>2.9409129873193305E-2</v>
      </c>
      <c r="J26" s="64">
        <v>3.7733216878770522E-2</v>
      </c>
      <c r="K26" s="64">
        <v>3.1564328779412947E-2</v>
      </c>
      <c r="L26" s="65">
        <v>3.1725445419185233E-2</v>
      </c>
      <c r="N26">
        <v>2.9409129873193305E-2</v>
      </c>
      <c r="O26">
        <v>3.7733216878770522E-2</v>
      </c>
      <c r="P26">
        <v>3.1564328779412947E-2</v>
      </c>
      <c r="Q26">
        <v>3.1725445419185233E-2</v>
      </c>
      <c r="S26" t="b">
        <f t="shared" si="1"/>
        <v>1</v>
      </c>
      <c r="T26" t="b">
        <f t="shared" si="1"/>
        <v>1</v>
      </c>
      <c r="U26" t="b">
        <f t="shared" si="1"/>
        <v>1</v>
      </c>
      <c r="V26" t="b">
        <f t="shared" si="1"/>
        <v>1</v>
      </c>
      <c r="X26">
        <v>1.9930076898371032E-2</v>
      </c>
      <c r="Y26">
        <v>1.8944117503635696E-2</v>
      </c>
      <c r="Z26">
        <v>2.7292070466854432E-2</v>
      </c>
      <c r="AA26">
        <v>2.7741063879801957E-2</v>
      </c>
      <c r="AB26" s="43">
        <f t="shared" si="3"/>
        <v>0</v>
      </c>
      <c r="AC26" s="43">
        <f t="shared" si="3"/>
        <v>0</v>
      </c>
      <c r="AD26" s="43">
        <f t="shared" si="3"/>
        <v>0</v>
      </c>
      <c r="AE26" s="43">
        <f t="shared" si="3"/>
        <v>0</v>
      </c>
    </row>
    <row r="27" spans="1:31" x14ac:dyDescent="0.3">
      <c r="A27" s="61">
        <v>16</v>
      </c>
      <c r="B27" s="62" t="s">
        <v>75</v>
      </c>
      <c r="C27" s="63">
        <v>-4.6088032368245886E-2</v>
      </c>
      <c r="D27" s="68">
        <v>-4.0784680519248731E-2</v>
      </c>
      <c r="E27" s="64">
        <v>-3.6757572980345238E-2</v>
      </c>
      <c r="F27" s="64">
        <v>-2.8734242001635307E-2</v>
      </c>
      <c r="G27" s="65">
        <v>-2.9697663802313909E-2</v>
      </c>
      <c r="H27" s="66"/>
      <c r="I27" s="67">
        <v>-2.5967160101922751E-2</v>
      </c>
      <c r="J27" s="64">
        <v>-3.3195023967773338E-2</v>
      </c>
      <c r="K27" s="64">
        <v>-2.6266127410361082E-2</v>
      </c>
      <c r="L27" s="65">
        <v>-3.0832339776697228E-2</v>
      </c>
      <c r="N27">
        <v>-2.5967160101922751E-2</v>
      </c>
      <c r="O27">
        <v>-3.3195023967773338E-2</v>
      </c>
      <c r="P27">
        <v>-2.6266127410361082E-2</v>
      </c>
      <c r="Q27">
        <v>-3.0832339776697228E-2</v>
      </c>
      <c r="S27" t="b">
        <f t="shared" si="1"/>
        <v>1</v>
      </c>
      <c r="T27" t="b">
        <f t="shared" si="1"/>
        <v>1</v>
      </c>
      <c r="U27" t="b">
        <f t="shared" si="1"/>
        <v>1</v>
      </c>
      <c r="V27" t="b">
        <f t="shared" si="1"/>
        <v>1</v>
      </c>
      <c r="X27">
        <v>-4.0784680519248731E-2</v>
      </c>
      <c r="Y27">
        <v>-3.6757572980345238E-2</v>
      </c>
      <c r="Z27">
        <v>-2.8734242001635307E-2</v>
      </c>
      <c r="AA27">
        <v>-2.9697663802313909E-2</v>
      </c>
      <c r="AB27" s="43">
        <f t="shared" si="3"/>
        <v>0</v>
      </c>
      <c r="AC27" s="43">
        <f t="shared" si="3"/>
        <v>0</v>
      </c>
      <c r="AD27" s="43">
        <f t="shared" si="3"/>
        <v>0</v>
      </c>
      <c r="AE27" s="43">
        <f t="shared" si="3"/>
        <v>0</v>
      </c>
    </row>
    <row r="28" spans="1:31" x14ac:dyDescent="0.3">
      <c r="A28" s="61">
        <v>17</v>
      </c>
      <c r="B28" s="62" t="s">
        <v>76</v>
      </c>
      <c r="C28" s="63">
        <v>3.5373831321527632E-2</v>
      </c>
      <c r="D28" s="68">
        <v>4.3289877195880518E-2</v>
      </c>
      <c r="E28" s="64">
        <v>4.9771038198820568E-2</v>
      </c>
      <c r="F28" s="64">
        <v>3.7258573709081005E-2</v>
      </c>
      <c r="G28" s="65">
        <v>2.6769249258015729E-2</v>
      </c>
      <c r="H28" s="66"/>
      <c r="I28" s="67">
        <v>4.0566948700549006E-2</v>
      </c>
      <c r="J28" s="64">
        <v>4.8979547288111901E-2</v>
      </c>
      <c r="K28" s="64">
        <v>3.7080109163869925E-2</v>
      </c>
      <c r="L28" s="65">
        <v>3.4615007612479654E-2</v>
      </c>
      <c r="N28">
        <v>4.0566948700549006E-2</v>
      </c>
      <c r="O28">
        <v>4.8979547288111901E-2</v>
      </c>
      <c r="P28">
        <v>3.7080109163869925E-2</v>
      </c>
      <c r="Q28">
        <v>3.4615007612479654E-2</v>
      </c>
      <c r="S28" t="b">
        <f t="shared" si="1"/>
        <v>1</v>
      </c>
      <c r="T28" t="b">
        <f t="shared" si="1"/>
        <v>1</v>
      </c>
      <c r="U28" t="b">
        <f t="shared" si="1"/>
        <v>1</v>
      </c>
      <c r="V28" t="b">
        <f t="shared" si="1"/>
        <v>1</v>
      </c>
      <c r="X28">
        <v>4.3289877195880518E-2</v>
      </c>
      <c r="Y28">
        <v>4.9771038198820568E-2</v>
      </c>
      <c r="Z28">
        <v>3.7258573709081005E-2</v>
      </c>
      <c r="AA28">
        <v>2.6769249258015729E-2</v>
      </c>
      <c r="AB28" s="43">
        <f t="shared" si="3"/>
        <v>0</v>
      </c>
      <c r="AC28" s="43">
        <f t="shared" si="3"/>
        <v>0</v>
      </c>
      <c r="AD28" s="43">
        <f t="shared" si="3"/>
        <v>0</v>
      </c>
      <c r="AE28" s="43">
        <f t="shared" si="3"/>
        <v>0</v>
      </c>
    </row>
    <row r="29" spans="1:31" x14ac:dyDescent="0.3">
      <c r="A29" s="61">
        <v>18</v>
      </c>
      <c r="B29" s="62" t="s">
        <v>77</v>
      </c>
      <c r="C29" s="63">
        <v>-5.2010519987636741E-2</v>
      </c>
      <c r="D29" s="68">
        <v>-5.092813629758406E-2</v>
      </c>
      <c r="E29" s="64">
        <v>-5.5093624167006743E-2</v>
      </c>
      <c r="F29" s="64">
        <v>-4.2491248458520849E-2</v>
      </c>
      <c r="G29" s="65">
        <v>-3.7787800036847348E-2</v>
      </c>
      <c r="H29" s="66"/>
      <c r="I29" s="67">
        <v>-3.3122255484799017E-2</v>
      </c>
      <c r="J29" s="64">
        <v>-4.8911011129122245E-2</v>
      </c>
      <c r="K29" s="64">
        <v>-4.3456904238065724E-2</v>
      </c>
      <c r="L29" s="65">
        <v>-3.6956771619234767E-2</v>
      </c>
      <c r="N29">
        <v>-3.3122255484799017E-2</v>
      </c>
      <c r="O29">
        <v>-4.8911011129122245E-2</v>
      </c>
      <c r="P29">
        <v>-4.3456904238065724E-2</v>
      </c>
      <c r="Q29">
        <v>-3.6956771619234767E-2</v>
      </c>
      <c r="S29" t="b">
        <f t="shared" si="1"/>
        <v>1</v>
      </c>
      <c r="T29" t="b">
        <f t="shared" si="1"/>
        <v>1</v>
      </c>
      <c r="U29" t="b">
        <f t="shared" si="1"/>
        <v>1</v>
      </c>
      <c r="V29" t="b">
        <f t="shared" si="1"/>
        <v>1</v>
      </c>
      <c r="X29">
        <v>-5.092813629758406E-2</v>
      </c>
      <c r="Y29">
        <v>-5.5093624167006743E-2</v>
      </c>
      <c r="Z29">
        <v>-4.2491248458520849E-2</v>
      </c>
      <c r="AA29">
        <v>-3.7787800036847348E-2</v>
      </c>
      <c r="AB29" s="43">
        <f t="shared" si="3"/>
        <v>0</v>
      </c>
      <c r="AC29" s="43">
        <f t="shared" si="3"/>
        <v>0</v>
      </c>
      <c r="AD29" s="43">
        <f t="shared" si="3"/>
        <v>0</v>
      </c>
      <c r="AE29" s="43">
        <f t="shared" si="3"/>
        <v>0</v>
      </c>
    </row>
    <row r="30" spans="1:31" x14ac:dyDescent="0.3">
      <c r="A30" s="61">
        <v>19</v>
      </c>
      <c r="B30" s="62" t="s">
        <v>78</v>
      </c>
      <c r="C30" s="63">
        <v>-0.10451859967494685</v>
      </c>
      <c r="D30" s="68">
        <v>-8.5388117838136657E-2</v>
      </c>
      <c r="E30" s="64">
        <v>-8.206638848692803E-2</v>
      </c>
      <c r="F30" s="64">
        <v>-6.5775634587289161E-2</v>
      </c>
      <c r="G30" s="65">
        <v>-5.8354714346085954E-2</v>
      </c>
      <c r="H30" s="66"/>
      <c r="I30" s="67">
        <v>-5.4955915971710907E-2</v>
      </c>
      <c r="J30" s="64">
        <v>-8.0165581024978935E-2</v>
      </c>
      <c r="K30" s="64">
        <v>-7.1654535872239203E-2</v>
      </c>
      <c r="L30" s="65">
        <v>-6.2810585501920951E-2</v>
      </c>
      <c r="N30">
        <v>-5.4955915971710907E-2</v>
      </c>
      <c r="O30">
        <v>-8.0165581024978935E-2</v>
      </c>
      <c r="P30">
        <v>-7.1654535872239203E-2</v>
      </c>
      <c r="Q30">
        <v>-6.2810585501920951E-2</v>
      </c>
      <c r="S30" t="b">
        <f t="shared" si="1"/>
        <v>1</v>
      </c>
      <c r="T30" t="b">
        <f t="shared" si="1"/>
        <v>1</v>
      </c>
      <c r="U30" t="b">
        <f t="shared" si="1"/>
        <v>1</v>
      </c>
      <c r="V30" t="b">
        <f t="shared" si="1"/>
        <v>1</v>
      </c>
      <c r="X30">
        <v>-8.5388117838136657E-2</v>
      </c>
      <c r="Y30">
        <v>-8.206638848692803E-2</v>
      </c>
      <c r="Z30">
        <v>-6.5775634587289161E-2</v>
      </c>
      <c r="AA30">
        <v>-5.8354714346085954E-2</v>
      </c>
      <c r="AB30" s="43">
        <f t="shared" si="3"/>
        <v>0</v>
      </c>
      <c r="AC30" s="43">
        <f t="shared" si="3"/>
        <v>0</v>
      </c>
      <c r="AD30" s="43">
        <f t="shared" si="3"/>
        <v>0</v>
      </c>
      <c r="AE30" s="43">
        <f t="shared" si="3"/>
        <v>0</v>
      </c>
    </row>
    <row r="31" spans="1:31" x14ac:dyDescent="0.3">
      <c r="A31" s="34"/>
      <c r="B31" s="35" t="s">
        <v>79</v>
      </c>
      <c r="C31" s="45"/>
      <c r="D31" s="46"/>
      <c r="E31" s="46"/>
      <c r="F31" s="46"/>
      <c r="G31" s="47"/>
      <c r="I31" s="815"/>
      <c r="J31" s="816"/>
      <c r="K31" s="816"/>
      <c r="L31" s="817"/>
      <c r="S31" t="b">
        <f t="shared" si="1"/>
        <v>1</v>
      </c>
      <c r="T31" t="b">
        <f t="shared" si="1"/>
        <v>1</v>
      </c>
      <c r="U31" t="b">
        <f t="shared" si="1"/>
        <v>1</v>
      </c>
      <c r="V31" t="b">
        <f t="shared" si="1"/>
        <v>1</v>
      </c>
    </row>
    <row r="32" spans="1:31" x14ac:dyDescent="0.3">
      <c r="A32" s="61">
        <v>20</v>
      </c>
      <c r="B32" s="62" t="s">
        <v>80</v>
      </c>
      <c r="C32" s="69">
        <f>'24. Risk Sector'!F33/'24. Risk Sector'!C33</f>
        <v>4.0539867266098477E-2</v>
      </c>
      <c r="D32" s="68">
        <v>5.6273561937663592E-2</v>
      </c>
      <c r="E32" s="64">
        <v>6.812416279729494E-2</v>
      </c>
      <c r="F32" s="64">
        <v>6.3630471777496839E-2</v>
      </c>
      <c r="G32" s="65">
        <v>5.3370093762124662E-2</v>
      </c>
      <c r="I32" s="67">
        <v>7.1593592432212444E-2</v>
      </c>
      <c r="J32" s="64">
        <v>9.7700818052230035E-2</v>
      </c>
      <c r="K32" s="64">
        <v>0.1459437829377751</v>
      </c>
      <c r="L32" s="65">
        <v>0.16505744055088239</v>
      </c>
      <c r="N32">
        <v>7.1593592432212444E-2</v>
      </c>
      <c r="O32">
        <v>9.7700818052230035E-2</v>
      </c>
      <c r="P32">
        <v>0.1459437829377751</v>
      </c>
      <c r="Q32">
        <v>0.16505744055088239</v>
      </c>
      <c r="S32" t="b">
        <f t="shared" si="1"/>
        <v>1</v>
      </c>
      <c r="T32" t="b">
        <f t="shared" si="1"/>
        <v>1</v>
      </c>
      <c r="U32" t="b">
        <f t="shared" si="1"/>
        <v>1</v>
      </c>
      <c r="V32" t="b">
        <f t="shared" si="1"/>
        <v>1</v>
      </c>
      <c r="X32">
        <v>5.6273561937663592E-2</v>
      </c>
      <c r="Y32">
        <v>6.812416279729494E-2</v>
      </c>
      <c r="Z32">
        <v>6.3630471777496839E-2</v>
      </c>
      <c r="AA32">
        <v>5.3370093762124662E-2</v>
      </c>
      <c r="AB32" s="43">
        <f t="shared" ref="AB32:AE36" si="4">D32-X32</f>
        <v>0</v>
      </c>
      <c r="AC32" s="43">
        <f t="shared" si="4"/>
        <v>0</v>
      </c>
      <c r="AD32" s="43">
        <f t="shared" si="4"/>
        <v>0</v>
      </c>
      <c r="AE32" s="43">
        <f t="shared" si="4"/>
        <v>0</v>
      </c>
    </row>
    <row r="33" spans="1:31" ht="15" customHeight="1" x14ac:dyDescent="0.3">
      <c r="A33" s="61">
        <v>21</v>
      </c>
      <c r="B33" s="62" t="s">
        <v>81</v>
      </c>
      <c r="C33" s="69">
        <v>3.7767671694559191E-2</v>
      </c>
      <c r="D33" s="68">
        <v>4.524543007917637E-2</v>
      </c>
      <c r="E33" s="64">
        <v>4.8700707842852749E-2</v>
      </c>
      <c r="F33" s="64">
        <v>4.5844323891332479E-2</v>
      </c>
      <c r="G33" s="65">
        <v>4.7536940977588545E-2</v>
      </c>
      <c r="I33" s="67">
        <v>4.2022503882801265E-2</v>
      </c>
      <c r="J33" s="64">
        <v>5.0902620948851923E-2</v>
      </c>
      <c r="K33" s="64">
        <v>6.4883518819109212E-2</v>
      </c>
      <c r="L33" s="65">
        <v>6.9545281550102159E-2</v>
      </c>
      <c r="N33">
        <v>4.2022503882801265E-2</v>
      </c>
      <c r="O33">
        <v>5.0902620948851923E-2</v>
      </c>
      <c r="P33">
        <v>6.4883518819109212E-2</v>
      </c>
      <c r="Q33">
        <v>6.9545281550102159E-2</v>
      </c>
      <c r="S33" t="b">
        <f t="shared" si="1"/>
        <v>1</v>
      </c>
      <c r="T33" t="b">
        <f t="shared" si="1"/>
        <v>1</v>
      </c>
      <c r="U33" t="b">
        <f t="shared" si="1"/>
        <v>1</v>
      </c>
      <c r="V33" t="b">
        <f t="shared" si="1"/>
        <v>1</v>
      </c>
      <c r="X33">
        <v>4.524543007917637E-2</v>
      </c>
      <c r="Y33">
        <v>4.8700707842852749E-2</v>
      </c>
      <c r="Z33">
        <v>4.5844323891332479E-2</v>
      </c>
      <c r="AA33">
        <v>4.7536940977588545E-2</v>
      </c>
      <c r="AB33" s="43">
        <f t="shared" si="4"/>
        <v>0</v>
      </c>
      <c r="AC33" s="43">
        <f t="shared" si="4"/>
        <v>0</v>
      </c>
      <c r="AD33" s="43">
        <f t="shared" si="4"/>
        <v>0</v>
      </c>
      <c r="AE33" s="43">
        <f t="shared" si="4"/>
        <v>0</v>
      </c>
    </row>
    <row r="34" spans="1:31" x14ac:dyDescent="0.3">
      <c r="A34" s="61">
        <v>22</v>
      </c>
      <c r="B34" s="62" t="s">
        <v>82</v>
      </c>
      <c r="C34" s="69">
        <v>0.43036893477315696</v>
      </c>
      <c r="D34" s="68">
        <v>0.39556562021042679</v>
      </c>
      <c r="E34" s="64">
        <v>0.39067944788619285</v>
      </c>
      <c r="F34" s="64">
        <v>0.32727225428488882</v>
      </c>
      <c r="G34" s="65">
        <v>0.32727225428488882</v>
      </c>
      <c r="I34" s="67">
        <v>0.37000812830572832</v>
      </c>
      <c r="J34" s="64">
        <v>0.33008692441883963</v>
      </c>
      <c r="K34" s="64">
        <v>0.19592437409026345</v>
      </c>
      <c r="L34" s="65">
        <v>0.22430830972248131</v>
      </c>
      <c r="N34">
        <v>0.37000812830572832</v>
      </c>
      <c r="O34">
        <v>0.33008692441883963</v>
      </c>
      <c r="P34">
        <v>0.19592437409026345</v>
      </c>
      <c r="Q34">
        <v>0.22430830972248131</v>
      </c>
      <c r="S34" t="b">
        <f t="shared" si="1"/>
        <v>1</v>
      </c>
      <c r="T34" t="b">
        <f t="shared" si="1"/>
        <v>1</v>
      </c>
      <c r="U34" t="b">
        <f t="shared" si="1"/>
        <v>1</v>
      </c>
      <c r="V34" t="b">
        <f t="shared" si="1"/>
        <v>1</v>
      </c>
      <c r="X34">
        <v>0.39556562021042679</v>
      </c>
      <c r="Y34">
        <v>0.39067944788619285</v>
      </c>
      <c r="Z34">
        <v>0.32727225428488882</v>
      </c>
      <c r="AA34">
        <v>0.32727225428488882</v>
      </c>
      <c r="AB34" s="43">
        <f t="shared" si="4"/>
        <v>0</v>
      </c>
      <c r="AC34" s="43">
        <f t="shared" si="4"/>
        <v>0</v>
      </c>
      <c r="AD34" s="43">
        <f t="shared" si="4"/>
        <v>0</v>
      </c>
      <c r="AE34" s="43">
        <f t="shared" si="4"/>
        <v>0</v>
      </c>
    </row>
    <row r="35" spans="1:31" ht="15" customHeight="1" x14ac:dyDescent="0.3">
      <c r="A35" s="61">
        <v>23</v>
      </c>
      <c r="B35" s="62" t="s">
        <v>83</v>
      </c>
      <c r="C35" s="69">
        <v>0.15726929087587752</v>
      </c>
      <c r="D35" s="68">
        <v>9.7451449403516091E-2</v>
      </c>
      <c r="E35" s="64">
        <v>0.17916446177110151</v>
      </c>
      <c r="F35" s="64">
        <v>0.12851902809982563</v>
      </c>
      <c r="G35" s="65">
        <v>0.16573260519847824</v>
      </c>
      <c r="I35" s="67">
        <v>0.14465277297749282</v>
      </c>
      <c r="J35" s="64">
        <v>0.1977002062449103</v>
      </c>
      <c r="K35" s="64">
        <v>7.5296942059711172E-2</v>
      </c>
      <c r="L35" s="65">
        <v>0.21782155335133591</v>
      </c>
      <c r="N35">
        <v>0.14465277297749282</v>
      </c>
      <c r="O35">
        <v>0.1977002062449103</v>
      </c>
      <c r="P35">
        <v>7.5296942059711172E-2</v>
      </c>
      <c r="Q35">
        <v>0.21782155335133591</v>
      </c>
      <c r="S35" t="b">
        <f t="shared" si="1"/>
        <v>1</v>
      </c>
      <c r="T35" t="b">
        <f t="shared" si="1"/>
        <v>1</v>
      </c>
      <c r="U35" t="b">
        <f t="shared" si="1"/>
        <v>1</v>
      </c>
      <c r="V35" t="b">
        <f t="shared" si="1"/>
        <v>1</v>
      </c>
      <c r="X35">
        <v>9.7451449403516091E-2</v>
      </c>
      <c r="Y35">
        <v>0.17916446177110151</v>
      </c>
      <c r="Z35">
        <v>0.12851902809982563</v>
      </c>
      <c r="AA35">
        <v>0.16573260519847824</v>
      </c>
      <c r="AB35" s="43">
        <f t="shared" si="4"/>
        <v>0</v>
      </c>
      <c r="AC35" s="43">
        <f t="shared" si="4"/>
        <v>0</v>
      </c>
      <c r="AD35" s="43">
        <f t="shared" si="4"/>
        <v>0</v>
      </c>
      <c r="AE35" s="43">
        <f t="shared" si="4"/>
        <v>0</v>
      </c>
    </row>
    <row r="36" spans="1:31" x14ac:dyDescent="0.3">
      <c r="A36" s="61">
        <v>24</v>
      </c>
      <c r="B36" s="62" t="s">
        <v>84</v>
      </c>
      <c r="C36" s="69">
        <v>0.6149716047200815</v>
      </c>
      <c r="D36" s="68">
        <v>0.12520805739140259</v>
      </c>
      <c r="E36" s="64">
        <v>-6.3847306915676527E-2</v>
      </c>
      <c r="F36" s="64">
        <v>0.21692228790811771</v>
      </c>
      <c r="G36" s="65">
        <v>0.45671911530227416</v>
      </c>
      <c r="I36" s="67">
        <v>0.21923715516628856</v>
      </c>
      <c r="J36" s="64">
        <v>0.46099129096252295</v>
      </c>
      <c r="K36" s="64">
        <v>1.3803265912725002E-2</v>
      </c>
      <c r="L36" s="70">
        <v>7.1589516154703706E-4</v>
      </c>
      <c r="N36">
        <v>0.21923715516628856</v>
      </c>
      <c r="O36">
        <v>0.46099129096252295</v>
      </c>
      <c r="P36">
        <v>1.3803265912725002E-2</v>
      </c>
      <c r="Q36">
        <v>7.1589516154703706E-4</v>
      </c>
      <c r="S36" t="b">
        <f t="shared" si="1"/>
        <v>1</v>
      </c>
      <c r="T36" t="b">
        <f t="shared" si="1"/>
        <v>1</v>
      </c>
      <c r="U36" t="b">
        <f t="shared" si="1"/>
        <v>1</v>
      </c>
      <c r="V36" t="b">
        <f t="shared" si="1"/>
        <v>1</v>
      </c>
      <c r="X36">
        <v>0.12520805739140259</v>
      </c>
      <c r="Y36">
        <v>-6.3847306915676527E-2</v>
      </c>
      <c r="Z36">
        <v>0.21692228790811771</v>
      </c>
      <c r="AA36">
        <v>0.45671911530227416</v>
      </c>
      <c r="AB36" s="43">
        <f t="shared" si="4"/>
        <v>0</v>
      </c>
      <c r="AC36" s="43">
        <f t="shared" si="4"/>
        <v>0</v>
      </c>
      <c r="AD36" s="43">
        <f t="shared" si="4"/>
        <v>0</v>
      </c>
      <c r="AE36" s="43">
        <f t="shared" si="4"/>
        <v>0</v>
      </c>
    </row>
    <row r="37" spans="1:31" ht="15" customHeight="1" x14ac:dyDescent="0.3">
      <c r="A37" s="34"/>
      <c r="B37" s="35" t="s">
        <v>85</v>
      </c>
      <c r="C37" s="71"/>
      <c r="D37" s="72"/>
      <c r="E37" s="72"/>
      <c r="F37" s="72"/>
      <c r="G37" s="73"/>
      <c r="I37" s="815"/>
      <c r="J37" s="816"/>
      <c r="K37" s="816"/>
      <c r="L37" s="817"/>
      <c r="S37" t="b">
        <f t="shared" si="1"/>
        <v>1</v>
      </c>
      <c r="T37" t="b">
        <f t="shared" si="1"/>
        <v>1</v>
      </c>
      <c r="U37" t="b">
        <f t="shared" si="1"/>
        <v>1</v>
      </c>
      <c r="V37" t="b">
        <f t="shared" si="1"/>
        <v>1</v>
      </c>
    </row>
    <row r="38" spans="1:31" ht="15" customHeight="1" x14ac:dyDescent="0.3">
      <c r="A38" s="61">
        <v>25</v>
      </c>
      <c r="B38" s="62" t="s">
        <v>86</v>
      </c>
      <c r="C38" s="69">
        <v>0.27565816724166298</v>
      </c>
      <c r="D38" s="63">
        <v>0.34716100710979098</v>
      </c>
      <c r="E38" s="69">
        <v>0.43477256414539994</v>
      </c>
      <c r="F38" s="69">
        <v>0.31885440522479719</v>
      </c>
      <c r="G38" s="74">
        <v>0.30389736031573039</v>
      </c>
      <c r="I38" s="75">
        <v>0.35278899881582926</v>
      </c>
      <c r="J38" s="69">
        <v>0.32247973720512596</v>
      </c>
      <c r="K38" s="69">
        <v>0.44772812081063196</v>
      </c>
      <c r="L38" s="74">
        <v>0.35465761211009106</v>
      </c>
      <c r="N38">
        <v>0.35278899881582926</v>
      </c>
      <c r="O38">
        <v>0.32247973720512596</v>
      </c>
      <c r="P38">
        <v>0.44772812081063196</v>
      </c>
      <c r="Q38">
        <v>0.35465761211009106</v>
      </c>
      <c r="S38" t="b">
        <f t="shared" si="1"/>
        <v>1</v>
      </c>
      <c r="T38" t="b">
        <f t="shared" si="1"/>
        <v>1</v>
      </c>
      <c r="U38" t="b">
        <f t="shared" si="1"/>
        <v>1</v>
      </c>
      <c r="V38" t="b">
        <f t="shared" si="1"/>
        <v>1</v>
      </c>
      <c r="X38">
        <v>0.34716100710979098</v>
      </c>
      <c r="Y38">
        <v>0.43477256414539994</v>
      </c>
      <c r="Z38">
        <v>0.31885440522479719</v>
      </c>
      <c r="AA38">
        <v>0.30389736031573039</v>
      </c>
      <c r="AB38" s="43">
        <f t="shared" ref="AB38:AE40" si="5">D38-X38</f>
        <v>0</v>
      </c>
      <c r="AC38" s="43">
        <f t="shared" si="5"/>
        <v>0</v>
      </c>
      <c r="AD38" s="43">
        <f t="shared" si="5"/>
        <v>0</v>
      </c>
      <c r="AE38" s="43">
        <f t="shared" si="5"/>
        <v>0</v>
      </c>
    </row>
    <row r="39" spans="1:31" ht="15" customHeight="1" x14ac:dyDescent="0.3">
      <c r="A39" s="61">
        <v>26</v>
      </c>
      <c r="B39" s="62" t="s">
        <v>87</v>
      </c>
      <c r="C39" s="69">
        <v>0.20196748306875525</v>
      </c>
      <c r="D39" s="63">
        <v>0.16939085636526741</v>
      </c>
      <c r="E39" s="69">
        <v>0.35805597760042157</v>
      </c>
      <c r="F39" s="69">
        <v>0.23993483258730672</v>
      </c>
      <c r="G39" s="74">
        <v>0.24984852116194686</v>
      </c>
      <c r="I39" s="75">
        <v>0.2688375631872657</v>
      </c>
      <c r="J39" s="69">
        <v>0.2686654432456681</v>
      </c>
      <c r="K39" s="69">
        <v>0.16477854600384689</v>
      </c>
      <c r="L39" s="74">
        <v>0.13308155848890119</v>
      </c>
      <c r="N39">
        <v>0.2688375631872657</v>
      </c>
      <c r="O39">
        <v>0.2686654432456681</v>
      </c>
      <c r="P39">
        <v>0.16477854600384689</v>
      </c>
      <c r="Q39">
        <v>0.13308155848890119</v>
      </c>
      <c r="S39" t="b">
        <f t="shared" si="1"/>
        <v>1</v>
      </c>
      <c r="T39" t="b">
        <f t="shared" si="1"/>
        <v>1</v>
      </c>
      <c r="U39" t="b">
        <f t="shared" si="1"/>
        <v>1</v>
      </c>
      <c r="V39" t="b">
        <f t="shared" si="1"/>
        <v>1</v>
      </c>
      <c r="X39">
        <v>0.16939085636526741</v>
      </c>
      <c r="Y39">
        <v>0.35805597760042157</v>
      </c>
      <c r="Z39">
        <v>0.23993483258730672</v>
      </c>
      <c r="AA39">
        <v>0.24984852116194686</v>
      </c>
      <c r="AB39" s="43">
        <f t="shared" si="5"/>
        <v>0</v>
      </c>
      <c r="AC39" s="43">
        <f t="shared" si="5"/>
        <v>0</v>
      </c>
      <c r="AD39" s="43">
        <f t="shared" si="5"/>
        <v>0</v>
      </c>
      <c r="AE39" s="43">
        <f t="shared" si="5"/>
        <v>0</v>
      </c>
    </row>
    <row r="40" spans="1:31" ht="15" customHeight="1" x14ac:dyDescent="0.3">
      <c r="A40" s="61">
        <v>27</v>
      </c>
      <c r="B40" s="76" t="s">
        <v>88</v>
      </c>
      <c r="C40" s="63">
        <v>8.2859139345820607E-2</v>
      </c>
      <c r="D40" s="63">
        <v>9.4277042563089886E-2</v>
      </c>
      <c r="E40" s="69">
        <v>0.12064636343155606</v>
      </c>
      <c r="F40" s="69">
        <v>0.12827975782739554</v>
      </c>
      <c r="G40" s="74">
        <v>0.11984303846411777</v>
      </c>
      <c r="I40" s="75">
        <v>0.14195045816821317</v>
      </c>
      <c r="J40" s="69">
        <v>0.12465381841449046</v>
      </c>
      <c r="K40" s="69">
        <v>8.4388384081508658E-2</v>
      </c>
      <c r="L40" s="74">
        <v>0.1256366601234441</v>
      </c>
      <c r="N40">
        <v>0.14195045816821317</v>
      </c>
      <c r="O40">
        <v>0.12465381841449046</v>
      </c>
      <c r="P40">
        <v>8.4388384081508658E-2</v>
      </c>
      <c r="Q40">
        <v>0.1256366601234441</v>
      </c>
      <c r="S40" t="b">
        <f t="shared" si="1"/>
        <v>1</v>
      </c>
      <c r="T40" t="b">
        <f t="shared" si="1"/>
        <v>1</v>
      </c>
      <c r="U40" t="b">
        <f t="shared" si="1"/>
        <v>1</v>
      </c>
      <c r="V40" t="b">
        <f t="shared" si="1"/>
        <v>1</v>
      </c>
      <c r="X40">
        <v>9.4277042563089886E-2</v>
      </c>
      <c r="Y40">
        <v>0.12064636343155606</v>
      </c>
      <c r="Z40">
        <v>0.12827975782739554</v>
      </c>
      <c r="AA40">
        <v>0.11984303846411777</v>
      </c>
      <c r="AB40" s="43">
        <f t="shared" si="5"/>
        <v>0</v>
      </c>
      <c r="AC40" s="43">
        <f t="shared" si="5"/>
        <v>0</v>
      </c>
      <c r="AD40" s="43">
        <f t="shared" si="5"/>
        <v>0</v>
      </c>
      <c r="AE40" s="43">
        <f t="shared" si="5"/>
        <v>0</v>
      </c>
    </row>
    <row r="41" spans="1:31" ht="15" customHeight="1" x14ac:dyDescent="0.3">
      <c r="A41" s="77"/>
      <c r="B41" s="35" t="s">
        <v>89</v>
      </c>
      <c r="C41" s="45"/>
      <c r="D41" s="46"/>
      <c r="E41" s="46"/>
      <c r="F41" s="46"/>
      <c r="G41" s="47"/>
      <c r="I41" s="815"/>
      <c r="J41" s="816"/>
      <c r="K41" s="816"/>
      <c r="L41" s="817"/>
      <c r="S41" t="b">
        <f t="shared" si="1"/>
        <v>1</v>
      </c>
      <c r="T41" t="b">
        <f t="shared" si="1"/>
        <v>1</v>
      </c>
      <c r="U41" t="b">
        <f t="shared" si="1"/>
        <v>1</v>
      </c>
      <c r="V41" t="b">
        <f t="shared" si="1"/>
        <v>1</v>
      </c>
    </row>
    <row r="42" spans="1:31" ht="15" customHeight="1" x14ac:dyDescent="0.3">
      <c r="A42" s="61">
        <v>28</v>
      </c>
      <c r="B42" s="78" t="s">
        <v>90</v>
      </c>
      <c r="C42" s="39">
        <f>'14. LCR'!H23</f>
        <v>96974791.719999999</v>
      </c>
      <c r="D42" s="39">
        <v>44459514.869999997</v>
      </c>
      <c r="E42" s="79">
        <v>36068071.213978499</v>
      </c>
      <c r="F42" s="79">
        <v>28839575.869999997</v>
      </c>
      <c r="G42" s="80">
        <v>39070286.440000005</v>
      </c>
      <c r="I42" s="81">
        <v>28839575.869999997</v>
      </c>
      <c r="J42" s="76">
        <v>39070286.440000005</v>
      </c>
      <c r="K42" s="76">
        <v>37577645.133626401</v>
      </c>
      <c r="L42" s="82">
        <v>33641079.189999998</v>
      </c>
      <c r="N42">
        <v>28839575.869999997</v>
      </c>
      <c r="O42">
        <v>39070286.440000005</v>
      </c>
      <c r="P42">
        <v>37577645.133626401</v>
      </c>
      <c r="Q42">
        <v>33641079.189999998</v>
      </c>
      <c r="S42" t="b">
        <f t="shared" si="1"/>
        <v>1</v>
      </c>
      <c r="T42" t="b">
        <f t="shared" si="1"/>
        <v>1</v>
      </c>
      <c r="U42" t="b">
        <f t="shared" si="1"/>
        <v>1</v>
      </c>
      <c r="V42" t="b">
        <f t="shared" si="1"/>
        <v>1</v>
      </c>
      <c r="X42">
        <v>44459514.869999997</v>
      </c>
      <c r="Y42">
        <v>36068071.213978499</v>
      </c>
      <c r="Z42">
        <v>28839575.869999997</v>
      </c>
      <c r="AA42">
        <v>39070286.440000005</v>
      </c>
      <c r="AB42" s="43">
        <f t="shared" ref="AB42:AE44" si="6">D42-X42</f>
        <v>0</v>
      </c>
      <c r="AC42" s="43">
        <f t="shared" si="6"/>
        <v>0</v>
      </c>
      <c r="AD42" s="43">
        <f t="shared" si="6"/>
        <v>0</v>
      </c>
      <c r="AE42" s="43">
        <f t="shared" si="6"/>
        <v>0</v>
      </c>
    </row>
    <row r="43" spans="1:31" x14ac:dyDescent="0.3">
      <c r="A43" s="61">
        <v>29</v>
      </c>
      <c r="B43" s="62" t="s">
        <v>91</v>
      </c>
      <c r="C43" s="39">
        <f>'14. LCR'!H24</f>
        <v>14300782.389699999</v>
      </c>
      <c r="D43" s="39">
        <v>14725616.939399999</v>
      </c>
      <c r="E43" s="83">
        <v>12130233.89205</v>
      </c>
      <c r="F43" s="83">
        <v>9804896.4565543793</v>
      </c>
      <c r="G43" s="84">
        <v>12941555.097129401</v>
      </c>
      <c r="I43" s="85">
        <v>12047888.378249999</v>
      </c>
      <c r="J43" s="86">
        <v>13254812.613400001</v>
      </c>
      <c r="K43" s="86">
        <v>12869564.5162</v>
      </c>
      <c r="L43" s="87">
        <v>11877040.71415</v>
      </c>
      <c r="N43">
        <v>12047888.378249999</v>
      </c>
      <c r="O43">
        <v>13254812.613400001</v>
      </c>
      <c r="P43">
        <v>12869564.5162</v>
      </c>
      <c r="Q43">
        <v>11877040.71415</v>
      </c>
      <c r="S43" t="b">
        <f t="shared" si="1"/>
        <v>1</v>
      </c>
      <c r="T43" t="b">
        <f t="shared" si="1"/>
        <v>1</v>
      </c>
      <c r="U43" t="b">
        <f t="shared" si="1"/>
        <v>1</v>
      </c>
      <c r="V43" t="b">
        <f t="shared" si="1"/>
        <v>1</v>
      </c>
      <c r="X43">
        <v>14725616.939399999</v>
      </c>
      <c r="Y43">
        <v>12130233.89205</v>
      </c>
      <c r="Z43">
        <v>9804896.4565543793</v>
      </c>
      <c r="AA43">
        <v>12941555.097129401</v>
      </c>
      <c r="AB43" s="43">
        <f t="shared" si="6"/>
        <v>0</v>
      </c>
      <c r="AC43" s="43">
        <f t="shared" si="6"/>
        <v>0</v>
      </c>
      <c r="AD43" s="43">
        <f t="shared" si="6"/>
        <v>0</v>
      </c>
      <c r="AE43" s="43">
        <f t="shared" si="6"/>
        <v>0</v>
      </c>
    </row>
    <row r="44" spans="1:31" x14ac:dyDescent="0.3">
      <c r="A44" s="88">
        <v>30</v>
      </c>
      <c r="B44" s="89" t="s">
        <v>92</v>
      </c>
      <c r="C44" s="90">
        <f>C42/C43</f>
        <v>6.7810829559818462</v>
      </c>
      <c r="D44" s="90">
        <v>3.0191953962243647</v>
      </c>
      <c r="E44" s="91">
        <v>2.9734027830755227</v>
      </c>
      <c r="F44" s="91">
        <v>2.9413442556776119</v>
      </c>
      <c r="G44" s="91">
        <v>3.0189792607432691</v>
      </c>
      <c r="I44" s="75">
        <v>2.3937452742394227</v>
      </c>
      <c r="J44" s="69">
        <v>2.9476302366207543</v>
      </c>
      <c r="K44" s="69">
        <v>2.9198847471741773</v>
      </c>
      <c r="L44" s="74">
        <v>2.8324462296336899</v>
      </c>
      <c r="N44">
        <v>2.3937452742394227</v>
      </c>
      <c r="O44">
        <v>2.9476302366207543</v>
      </c>
      <c r="P44">
        <v>2.9198847471741773</v>
      </c>
      <c r="Q44">
        <v>2.8324462296336899</v>
      </c>
      <c r="S44" t="b">
        <f t="shared" si="1"/>
        <v>1</v>
      </c>
      <c r="T44" t="b">
        <f t="shared" si="1"/>
        <v>1</v>
      </c>
      <c r="U44" t="b">
        <f t="shared" si="1"/>
        <v>1</v>
      </c>
      <c r="V44" t="b">
        <f t="shared" si="1"/>
        <v>1</v>
      </c>
      <c r="X44">
        <v>3.0191953962243647</v>
      </c>
      <c r="Y44">
        <v>2.9734027830755227</v>
      </c>
      <c r="Z44">
        <v>2.9413442556776119</v>
      </c>
      <c r="AA44">
        <v>3.0189792607432691</v>
      </c>
      <c r="AB44" s="43">
        <f t="shared" si="6"/>
        <v>0</v>
      </c>
      <c r="AC44" s="43">
        <f t="shared" si="6"/>
        <v>0</v>
      </c>
      <c r="AD44" s="43">
        <f t="shared" si="6"/>
        <v>0</v>
      </c>
      <c r="AE44" s="43">
        <f t="shared" si="6"/>
        <v>0</v>
      </c>
    </row>
    <row r="45" spans="1:31" x14ac:dyDescent="0.3">
      <c r="A45" s="88"/>
      <c r="B45" s="35" t="s">
        <v>30</v>
      </c>
      <c r="C45" s="45"/>
      <c r="D45" s="46"/>
      <c r="E45" s="46"/>
      <c r="F45" s="46"/>
      <c r="G45" s="47"/>
      <c r="I45" s="815"/>
      <c r="J45" s="816"/>
      <c r="K45" s="816"/>
      <c r="L45" s="817"/>
      <c r="S45" t="b">
        <f t="shared" si="1"/>
        <v>1</v>
      </c>
      <c r="T45" t="b">
        <f t="shared" si="1"/>
        <v>1</v>
      </c>
      <c r="U45" t="b">
        <f t="shared" si="1"/>
        <v>1</v>
      </c>
      <c r="V45" t="b">
        <f t="shared" si="1"/>
        <v>1</v>
      </c>
    </row>
    <row r="46" spans="1:31" x14ac:dyDescent="0.3">
      <c r="A46" s="88">
        <v>31</v>
      </c>
      <c r="B46" s="89" t="s">
        <v>93</v>
      </c>
      <c r="C46" s="39">
        <f>'16. NSFR'!G21</f>
        <v>106656234.33489899</v>
      </c>
      <c r="D46" s="92">
        <v>99197616.174378678</v>
      </c>
      <c r="E46" s="92">
        <v>63614640.219067007</v>
      </c>
      <c r="F46" s="92">
        <v>65163981.272780247</v>
      </c>
      <c r="G46" s="93">
        <v>63066144.908153526</v>
      </c>
      <c r="I46" s="94">
        <v>61318055.754500002</v>
      </c>
      <c r="J46" s="95">
        <v>57487096.908499993</v>
      </c>
      <c r="K46" s="95">
        <v>56004417.652500004</v>
      </c>
      <c r="L46" s="96">
        <v>60000891.506999999</v>
      </c>
      <c r="N46">
        <v>61318055.754500002</v>
      </c>
      <c r="O46">
        <v>57487096.908499993</v>
      </c>
      <c r="P46">
        <v>56004417.652500004</v>
      </c>
      <c r="Q46">
        <v>60000891.506999999</v>
      </c>
      <c r="S46" t="b">
        <f t="shared" si="1"/>
        <v>1</v>
      </c>
      <c r="T46" t="b">
        <f t="shared" si="1"/>
        <v>1</v>
      </c>
      <c r="U46" t="b">
        <f t="shared" si="1"/>
        <v>1</v>
      </c>
      <c r="V46" t="b">
        <f t="shared" si="1"/>
        <v>1</v>
      </c>
      <c r="X46">
        <v>99197616.174378678</v>
      </c>
      <c r="Y46">
        <v>63614640.219067007</v>
      </c>
      <c r="Z46">
        <v>65163981.272780247</v>
      </c>
      <c r="AA46">
        <v>63066144.908153526</v>
      </c>
      <c r="AB46" s="43">
        <f t="shared" ref="AB46:AE48" si="7">D46-X46</f>
        <v>0</v>
      </c>
      <c r="AC46" s="43">
        <f t="shared" si="7"/>
        <v>0</v>
      </c>
      <c r="AD46" s="43">
        <f t="shared" si="7"/>
        <v>0</v>
      </c>
      <c r="AE46" s="43">
        <f t="shared" si="7"/>
        <v>0</v>
      </c>
    </row>
    <row r="47" spans="1:31" x14ac:dyDescent="0.3">
      <c r="A47" s="88">
        <v>32</v>
      </c>
      <c r="B47" s="89" t="s">
        <v>94</v>
      </c>
      <c r="C47" s="39">
        <f>'16. NSFR'!G37</f>
        <v>52644786.448199168</v>
      </c>
      <c r="D47" s="92">
        <v>43498444.916133597</v>
      </c>
      <c r="E47" s="92">
        <v>37545109.733712941</v>
      </c>
      <c r="F47" s="92">
        <v>39796533.186461464</v>
      </c>
      <c r="G47" s="93">
        <v>41083635.106911853</v>
      </c>
      <c r="I47" s="94">
        <v>36598605.940775007</v>
      </c>
      <c r="J47" s="95">
        <v>39372851.676900022</v>
      </c>
      <c r="K47" s="95">
        <v>31849325.489900008</v>
      </c>
      <c r="L47" s="96">
        <v>31615845.140500002</v>
      </c>
      <c r="N47">
        <v>36598605.940775007</v>
      </c>
      <c r="O47">
        <v>39372851.676900022</v>
      </c>
      <c r="P47">
        <v>31849325.489900008</v>
      </c>
      <c r="Q47">
        <v>31615845.140500002</v>
      </c>
      <c r="S47" t="b">
        <f t="shared" si="1"/>
        <v>1</v>
      </c>
      <c r="T47" t="b">
        <f t="shared" si="1"/>
        <v>1</v>
      </c>
      <c r="U47" t="b">
        <f t="shared" si="1"/>
        <v>1</v>
      </c>
      <c r="V47" t="b">
        <f t="shared" si="1"/>
        <v>1</v>
      </c>
      <c r="X47">
        <v>43498444.916133597</v>
      </c>
      <c r="Y47">
        <v>37545109.733712941</v>
      </c>
      <c r="Z47">
        <v>39796533.186461464</v>
      </c>
      <c r="AA47">
        <v>41083635.106911853</v>
      </c>
      <c r="AB47" s="43">
        <f t="shared" si="7"/>
        <v>0</v>
      </c>
      <c r="AC47" s="43">
        <f t="shared" si="7"/>
        <v>0</v>
      </c>
      <c r="AD47" s="43">
        <f t="shared" si="7"/>
        <v>0</v>
      </c>
      <c r="AE47" s="43">
        <f t="shared" si="7"/>
        <v>0</v>
      </c>
    </row>
    <row r="48" spans="1:31" ht="15" thickBot="1" x14ac:dyDescent="0.35">
      <c r="A48" s="97">
        <v>33</v>
      </c>
      <c r="B48" s="98" t="s">
        <v>95</v>
      </c>
      <c r="C48" s="99">
        <f>C46/C47</f>
        <v>2.0259600528505404</v>
      </c>
      <c r="D48" s="100">
        <v>2.2804864947617065</v>
      </c>
      <c r="E48" s="101">
        <v>1.6943522251033778</v>
      </c>
      <c r="F48" s="101">
        <v>1.6374285912660511</v>
      </c>
      <c r="G48" s="102">
        <v>1.5350673022004171</v>
      </c>
      <c r="I48" s="103">
        <v>1.6754205297799258</v>
      </c>
      <c r="J48" s="104">
        <v>1.4600694249999566</v>
      </c>
      <c r="K48" s="104">
        <v>1.7584176993092053</v>
      </c>
      <c r="L48" s="105">
        <v>1.8978107730588123</v>
      </c>
      <c r="N48">
        <v>1.6754205297799258</v>
      </c>
      <c r="O48">
        <v>1.4600694249999566</v>
      </c>
      <c r="P48">
        <v>1.7584176993092053</v>
      </c>
      <c r="Q48">
        <v>1.8978107730588123</v>
      </c>
      <c r="S48" t="b">
        <f t="shared" si="1"/>
        <v>1</v>
      </c>
      <c r="T48" t="b">
        <f t="shared" si="1"/>
        <v>1</v>
      </c>
      <c r="U48" t="b">
        <f t="shared" si="1"/>
        <v>1</v>
      </c>
      <c r="V48" t="b">
        <f t="shared" si="1"/>
        <v>1</v>
      </c>
      <c r="X48">
        <v>2.2804864947617065</v>
      </c>
      <c r="Y48">
        <v>1.6943522251033778</v>
      </c>
      <c r="Z48">
        <v>1.6374285912660511</v>
      </c>
      <c r="AA48">
        <v>1.5350673022004171</v>
      </c>
      <c r="AB48" s="43">
        <f t="shared" si="7"/>
        <v>0</v>
      </c>
      <c r="AC48" s="43">
        <f t="shared" si="7"/>
        <v>0</v>
      </c>
      <c r="AD48" s="43">
        <f t="shared" si="7"/>
        <v>0</v>
      </c>
      <c r="AE48" s="43">
        <f t="shared" si="7"/>
        <v>0</v>
      </c>
    </row>
    <row r="49" spans="1:3" x14ac:dyDescent="0.3">
      <c r="A49" s="106"/>
      <c r="C49" s="107"/>
    </row>
    <row r="50" spans="1:3" ht="55.2" x14ac:dyDescent="0.3">
      <c r="B50" s="109" t="s">
        <v>96</v>
      </c>
    </row>
    <row r="51" spans="1:3" ht="110.4" x14ac:dyDescent="0.3">
      <c r="B51" s="110" t="s">
        <v>97</v>
      </c>
    </row>
  </sheetData>
  <mergeCells count="11">
    <mergeCell ref="I24:L24"/>
    <mergeCell ref="I31:L31"/>
    <mergeCell ref="I37:L37"/>
    <mergeCell ref="I41:L41"/>
    <mergeCell ref="I45:L45"/>
    <mergeCell ref="I16:L17"/>
    <mergeCell ref="D4:G4"/>
    <mergeCell ref="I4:L4"/>
    <mergeCell ref="C6:G7"/>
    <mergeCell ref="I6:L7"/>
    <mergeCell ref="I14:L1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6E60-65FA-4E0A-80D7-B4678415F74A}">
  <dimension ref="A1:K41"/>
  <sheetViews>
    <sheetView showGridLines="0" topLeftCell="A5" zoomScaleNormal="100" workbookViewId="0">
      <selection activeCell="C8" sqref="C8:H22"/>
    </sheetView>
  </sheetViews>
  <sheetFormatPr defaultColWidth="9.109375" defaultRowHeight="12" x14ac:dyDescent="0.25"/>
  <cols>
    <col min="1" max="1" width="11.88671875" style="571" bestFit="1" customWidth="1"/>
    <col min="2" max="2" width="92.33203125" style="571" customWidth="1"/>
    <col min="3" max="4" width="15.33203125" style="571" customWidth="1"/>
    <col min="5" max="5" width="17.44140625" style="571" bestFit="1" customWidth="1"/>
    <col min="6" max="6" width="15.88671875" style="571" customWidth="1"/>
    <col min="7" max="7" width="16" style="571" customWidth="1"/>
    <col min="8" max="8" width="16.88671875" style="571" customWidth="1"/>
    <col min="9" max="9" width="12.33203125" style="571" bestFit="1" customWidth="1"/>
    <col min="10" max="10" width="10.109375" style="571" bestFit="1" customWidth="1"/>
    <col min="11" max="16384" width="9.109375" style="571"/>
  </cols>
  <sheetData>
    <row r="1" spans="1:11" ht="13.8" x14ac:dyDescent="0.3">
      <c r="A1" s="570" t="s">
        <v>41</v>
      </c>
      <c r="B1" s="22" t="str">
        <f>Info!C2</f>
        <v>სს სილქ ბანკი</v>
      </c>
    </row>
    <row r="2" spans="1:11" x14ac:dyDescent="0.25">
      <c r="A2" s="570" t="s">
        <v>42</v>
      </c>
      <c r="B2" s="572">
        <f>'1. key ratios'!B2</f>
        <v>45199</v>
      </c>
    </row>
    <row r="3" spans="1:11" x14ac:dyDescent="0.25">
      <c r="A3" s="573" t="s">
        <v>574</v>
      </c>
    </row>
    <row r="4" spans="1:11" ht="40.5" customHeight="1" x14ac:dyDescent="0.25"/>
    <row r="5" spans="1:11" x14ac:dyDescent="0.25">
      <c r="A5" s="875" t="s">
        <v>575</v>
      </c>
      <c r="B5" s="876"/>
      <c r="C5" s="881" t="s">
        <v>576</v>
      </c>
      <c r="D5" s="882"/>
      <c r="E5" s="882"/>
      <c r="F5" s="882"/>
      <c r="G5" s="882"/>
      <c r="H5" s="883"/>
    </row>
    <row r="6" spans="1:11" x14ac:dyDescent="0.25">
      <c r="A6" s="877"/>
      <c r="B6" s="878"/>
      <c r="C6" s="884"/>
      <c r="D6" s="885"/>
      <c r="E6" s="885"/>
      <c r="F6" s="885"/>
      <c r="G6" s="885"/>
      <c r="H6" s="886"/>
    </row>
    <row r="7" spans="1:11" ht="36" x14ac:dyDescent="0.25">
      <c r="A7" s="879"/>
      <c r="B7" s="880"/>
      <c r="C7" s="574" t="s">
        <v>577</v>
      </c>
      <c r="D7" s="574" t="s">
        <v>578</v>
      </c>
      <c r="E7" s="574" t="s">
        <v>579</v>
      </c>
      <c r="F7" s="574" t="s">
        <v>580</v>
      </c>
      <c r="G7" s="574" t="s">
        <v>581</v>
      </c>
      <c r="H7" s="574" t="s">
        <v>103</v>
      </c>
    </row>
    <row r="8" spans="1:11" x14ac:dyDescent="0.25">
      <c r="A8" s="575">
        <v>1</v>
      </c>
      <c r="B8" s="576" t="s">
        <v>417</v>
      </c>
      <c r="C8" s="577">
        <v>5330076.9500000402</v>
      </c>
      <c r="D8" s="578">
        <v>2297642.4493779666</v>
      </c>
      <c r="E8" s="577">
        <v>22874867.347086426</v>
      </c>
      <c r="F8" s="577">
        <v>1448341.3824950405</v>
      </c>
      <c r="G8" s="579"/>
      <c r="H8" s="578">
        <f t="shared" ref="H8:H21" si="0">SUM(C8:G8)</f>
        <v>31950928.128959473</v>
      </c>
      <c r="I8" s="580"/>
    </row>
    <row r="9" spans="1:11" x14ac:dyDescent="0.25">
      <c r="A9" s="575">
        <v>2</v>
      </c>
      <c r="B9" s="576" t="s">
        <v>418</v>
      </c>
      <c r="C9" s="579"/>
      <c r="D9" s="579"/>
      <c r="E9" s="579"/>
      <c r="F9" s="579"/>
      <c r="G9" s="579"/>
      <c r="H9" s="578">
        <f t="shared" si="0"/>
        <v>0</v>
      </c>
      <c r="I9" s="580"/>
    </row>
    <row r="10" spans="1:11" x14ac:dyDescent="0.25">
      <c r="A10" s="575">
        <v>3</v>
      </c>
      <c r="B10" s="576" t="s">
        <v>419</v>
      </c>
      <c r="C10" s="579"/>
      <c r="D10" s="579"/>
      <c r="E10" s="579"/>
      <c r="F10" s="579"/>
      <c r="G10" s="579"/>
      <c r="H10" s="578">
        <f t="shared" si="0"/>
        <v>0</v>
      </c>
      <c r="I10" s="580"/>
    </row>
    <row r="11" spans="1:11" x14ac:dyDescent="0.25">
      <c r="A11" s="575">
        <v>4</v>
      </c>
      <c r="B11" s="576" t="s">
        <v>420</v>
      </c>
      <c r="C11" s="579"/>
      <c r="D11" s="579"/>
      <c r="E11" s="579"/>
      <c r="F11" s="579"/>
      <c r="G11" s="579"/>
      <c r="H11" s="578">
        <f t="shared" si="0"/>
        <v>0</v>
      </c>
      <c r="I11" s="580"/>
      <c r="J11" s="580"/>
    </row>
    <row r="12" spans="1:11" x14ac:dyDescent="0.25">
      <c r="A12" s="575">
        <v>5</v>
      </c>
      <c r="B12" s="576" t="s">
        <v>421</v>
      </c>
      <c r="C12" s="579"/>
      <c r="D12" s="579"/>
      <c r="E12" s="579"/>
      <c r="F12" s="579"/>
      <c r="G12" s="579"/>
      <c r="H12" s="578">
        <f t="shared" si="0"/>
        <v>0</v>
      </c>
      <c r="I12" s="580"/>
    </row>
    <row r="13" spans="1:11" x14ac:dyDescent="0.25">
      <c r="A13" s="575">
        <v>6</v>
      </c>
      <c r="B13" s="576" t="s">
        <v>422</v>
      </c>
      <c r="C13" s="578">
        <v>2558801.3700000271</v>
      </c>
      <c r="D13" s="577">
        <v>55000000</v>
      </c>
      <c r="E13" s="579"/>
      <c r="F13" s="577">
        <v>53566</v>
      </c>
      <c r="G13" s="579"/>
      <c r="H13" s="578">
        <f t="shared" si="0"/>
        <v>57612367.370000027</v>
      </c>
      <c r="I13" s="580"/>
      <c r="J13" s="581"/>
    </row>
    <row r="14" spans="1:11" x14ac:dyDescent="0.25">
      <c r="A14" s="582">
        <v>7</v>
      </c>
      <c r="B14" s="583" t="s">
        <v>423</v>
      </c>
      <c r="C14" s="579"/>
      <c r="D14" s="577">
        <v>3310305.1620974806</v>
      </c>
      <c r="E14" s="577">
        <v>6313443.1589934584</v>
      </c>
      <c r="F14" s="577">
        <v>10142594.033818617</v>
      </c>
      <c r="G14" s="584">
        <v>0</v>
      </c>
      <c r="H14" s="577">
        <f t="shared" si="0"/>
        <v>19766342.354909554</v>
      </c>
      <c r="I14" s="580"/>
      <c r="J14" s="585"/>
      <c r="K14" s="586"/>
    </row>
    <row r="15" spans="1:11" x14ac:dyDescent="0.25">
      <c r="A15" s="582">
        <v>8</v>
      </c>
      <c r="B15" s="583" t="s">
        <v>424</v>
      </c>
      <c r="C15" s="579"/>
      <c r="D15" s="577">
        <v>890231.62973874027</v>
      </c>
      <c r="E15" s="577">
        <v>7359243.1476575918</v>
      </c>
      <c r="F15" s="577">
        <v>2585378.6319508199</v>
      </c>
      <c r="G15" s="577">
        <v>11642.53485357926</v>
      </c>
      <c r="H15" s="577">
        <f>SUM(C15:G15)</f>
        <v>10846495.944200732</v>
      </c>
      <c r="I15" s="580"/>
    </row>
    <row r="16" spans="1:11" x14ac:dyDescent="0.25">
      <c r="A16" s="575">
        <v>9</v>
      </c>
      <c r="B16" s="576" t="s">
        <v>425</v>
      </c>
      <c r="C16" s="579"/>
      <c r="D16" s="578"/>
      <c r="E16" s="578"/>
      <c r="F16" s="578"/>
      <c r="G16" s="579"/>
      <c r="H16" s="578">
        <f t="shared" si="0"/>
        <v>0</v>
      </c>
    </row>
    <row r="17" spans="1:11" x14ac:dyDescent="0.25">
      <c r="A17" s="575">
        <v>10</v>
      </c>
      <c r="B17" s="587" t="s">
        <v>426</v>
      </c>
      <c r="C17" s="579"/>
      <c r="D17" s="578">
        <v>695679.81574416242</v>
      </c>
      <c r="E17" s="578">
        <v>36302.322651570976</v>
      </c>
      <c r="F17" s="578">
        <v>0</v>
      </c>
      <c r="G17" s="578">
        <v>0</v>
      </c>
      <c r="H17" s="578">
        <f t="shared" si="0"/>
        <v>731982.13839573343</v>
      </c>
      <c r="I17" s="580"/>
      <c r="J17" s="580"/>
    </row>
    <row r="18" spans="1:11" x14ac:dyDescent="0.25">
      <c r="A18" s="575">
        <v>11</v>
      </c>
      <c r="B18" s="576" t="s">
        <v>427</v>
      </c>
      <c r="C18" s="579"/>
      <c r="D18" s="584">
        <v>0</v>
      </c>
      <c r="E18" s="584">
        <v>0</v>
      </c>
      <c r="F18" s="579">
        <v>0</v>
      </c>
      <c r="G18" s="584">
        <v>0</v>
      </c>
      <c r="H18" s="578">
        <f t="shared" si="0"/>
        <v>0</v>
      </c>
      <c r="I18" s="580"/>
    </row>
    <row r="19" spans="1:11" x14ac:dyDescent="0.25">
      <c r="A19" s="575">
        <v>12</v>
      </c>
      <c r="B19" s="576" t="s">
        <v>428</v>
      </c>
      <c r="C19" s="579"/>
      <c r="D19" s="579"/>
      <c r="E19" s="579"/>
      <c r="F19" s="579"/>
      <c r="G19" s="579"/>
      <c r="H19" s="578">
        <f t="shared" si="0"/>
        <v>0</v>
      </c>
    </row>
    <row r="20" spans="1:11" x14ac:dyDescent="0.25">
      <c r="A20" s="582">
        <v>13</v>
      </c>
      <c r="B20" s="583" t="s">
        <v>429</v>
      </c>
      <c r="C20" s="579"/>
      <c r="D20" s="579"/>
      <c r="E20" s="579"/>
      <c r="F20" s="579"/>
      <c r="G20" s="579"/>
      <c r="H20" s="578">
        <f t="shared" si="0"/>
        <v>0</v>
      </c>
    </row>
    <row r="21" spans="1:11" x14ac:dyDescent="0.25">
      <c r="A21" s="575">
        <v>14</v>
      </c>
      <c r="B21" s="576" t="s">
        <v>430</v>
      </c>
      <c r="C21" s="588">
        <f>'2. SOFP'!E8</f>
        <v>2841108.1799999923</v>
      </c>
      <c r="D21" s="588">
        <v>5627507.2615073696</v>
      </c>
      <c r="E21" s="579"/>
      <c r="F21" s="579"/>
      <c r="G21" s="578">
        <v>20331790</v>
      </c>
      <c r="H21" s="578">
        <f t="shared" si="0"/>
        <v>28800405.441507362</v>
      </c>
      <c r="I21" s="580"/>
      <c r="K21" s="580"/>
    </row>
    <row r="22" spans="1:11" x14ac:dyDescent="0.25">
      <c r="A22" s="589">
        <v>15</v>
      </c>
      <c r="B22" s="590" t="s">
        <v>103</v>
      </c>
      <c r="C22" s="578">
        <f t="shared" ref="C22:H22" si="1">SUM(C18:C21)+SUM(C8:C16)</f>
        <v>10729986.50000006</v>
      </c>
      <c r="D22" s="578">
        <f t="shared" si="1"/>
        <v>67125686.502721563</v>
      </c>
      <c r="E22" s="578">
        <f t="shared" si="1"/>
        <v>36547553.653737471</v>
      </c>
      <c r="F22" s="578">
        <f t="shared" si="1"/>
        <v>14229880.048264477</v>
      </c>
      <c r="G22" s="578">
        <f t="shared" si="1"/>
        <v>20343432.534853578</v>
      </c>
      <c r="H22" s="578">
        <f t="shared" si="1"/>
        <v>148976539.23957714</v>
      </c>
    </row>
    <row r="23" spans="1:11" x14ac:dyDescent="0.25">
      <c r="H23" s="779"/>
    </row>
    <row r="26" spans="1:11" ht="36" x14ac:dyDescent="0.25">
      <c r="B26" s="591" t="s">
        <v>582</v>
      </c>
    </row>
    <row r="35" spans="3:7" x14ac:dyDescent="0.25">
      <c r="D35" s="780"/>
      <c r="E35" s="780"/>
      <c r="F35" s="780"/>
      <c r="G35" s="780"/>
    </row>
    <row r="36" spans="3:7" x14ac:dyDescent="0.25">
      <c r="D36" s="780"/>
      <c r="E36" s="780"/>
      <c r="G36" s="780"/>
    </row>
    <row r="37" spans="3:7" x14ac:dyDescent="0.25">
      <c r="D37" s="780"/>
      <c r="E37" s="780"/>
      <c r="F37" s="780"/>
      <c r="G37" s="780"/>
    </row>
    <row r="41" spans="3:7" x14ac:dyDescent="0.25">
      <c r="C41" s="887"/>
      <c r="D41" s="887"/>
    </row>
  </sheetData>
  <mergeCells count="3">
    <mergeCell ref="A5:B7"/>
    <mergeCell ref="C5:H6"/>
    <mergeCell ref="C41:D41"/>
  </mergeCells>
  <conditionalFormatting sqref="A5">
    <cfRule type="duplicateValues" dxfId="26" priority="1"/>
    <cfRule type="duplicateValues" dxfId="25" priority="2"/>
    <cfRule type="duplicateValues" dxfId="24"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A317-E76E-450C-8F83-E4B69FCE4535}">
  <dimension ref="A1:K26"/>
  <sheetViews>
    <sheetView showGridLines="0" zoomScaleNormal="100" workbookViewId="0">
      <selection activeCell="C7" sqref="C7:H23"/>
    </sheetView>
  </sheetViews>
  <sheetFormatPr defaultColWidth="9.109375" defaultRowHeight="12" x14ac:dyDescent="0.25"/>
  <cols>
    <col min="1" max="1" width="11.88671875" style="616" bestFit="1" customWidth="1"/>
    <col min="2" max="2" width="86.88671875" style="571" customWidth="1"/>
    <col min="3" max="4" width="29.88671875" style="571" customWidth="1"/>
    <col min="5" max="5" width="22.109375" style="571" customWidth="1"/>
    <col min="6" max="6" width="18.44140625" style="571" customWidth="1"/>
    <col min="7" max="7" width="20" style="571" customWidth="1"/>
    <col min="8" max="8" width="25" style="571" customWidth="1"/>
    <col min="9" max="9" width="13.5546875" style="571" customWidth="1"/>
    <col min="10" max="16384" width="9.109375" style="571"/>
  </cols>
  <sheetData>
    <row r="1" spans="1:11" ht="13.8" x14ac:dyDescent="0.3">
      <c r="A1" s="570" t="s">
        <v>41</v>
      </c>
      <c r="B1" s="22" t="str">
        <f>Info!C2</f>
        <v>სს სილქ ბანკი</v>
      </c>
      <c r="C1" s="592"/>
      <c r="D1" s="592"/>
      <c r="E1" s="592"/>
      <c r="F1" s="592"/>
      <c r="G1" s="592"/>
      <c r="H1" s="592"/>
    </row>
    <row r="2" spans="1:11" x14ac:dyDescent="0.25">
      <c r="A2" s="570" t="s">
        <v>42</v>
      </c>
      <c r="B2" s="572">
        <f>'1. key ratios'!B2</f>
        <v>45199</v>
      </c>
      <c r="C2" s="592"/>
      <c r="D2" s="592"/>
      <c r="E2" s="592"/>
      <c r="F2" s="592"/>
      <c r="G2" s="592"/>
      <c r="H2" s="592"/>
    </row>
    <row r="3" spans="1:11" x14ac:dyDescent="0.25">
      <c r="A3" s="573" t="s">
        <v>583</v>
      </c>
      <c r="B3" s="592"/>
      <c r="C3" s="592"/>
      <c r="D3" s="592"/>
      <c r="E3" s="592"/>
      <c r="F3" s="592"/>
      <c r="G3" s="592"/>
      <c r="H3" s="592"/>
    </row>
    <row r="4" spans="1:11" ht="40.5" customHeight="1" x14ac:dyDescent="0.25">
      <c r="A4" s="593"/>
      <c r="B4" s="592"/>
      <c r="C4" s="594" t="s">
        <v>584</v>
      </c>
      <c r="D4" s="594" t="s">
        <v>585</v>
      </c>
      <c r="E4" s="594" t="s">
        <v>586</v>
      </c>
      <c r="F4" s="594" t="s">
        <v>587</v>
      </c>
      <c r="G4" s="594" t="s">
        <v>588</v>
      </c>
      <c r="H4" s="594" t="s">
        <v>589</v>
      </c>
    </row>
    <row r="5" spans="1:11" ht="33.9" customHeight="1" x14ac:dyDescent="0.25">
      <c r="A5" s="875" t="s">
        <v>590</v>
      </c>
      <c r="B5" s="876"/>
      <c r="C5" s="888" t="s">
        <v>591</v>
      </c>
      <c r="D5" s="888"/>
      <c r="E5" s="888" t="s">
        <v>592</v>
      </c>
      <c r="F5" s="889" t="s">
        <v>593</v>
      </c>
      <c r="G5" s="889" t="s">
        <v>594</v>
      </c>
      <c r="H5" s="595" t="s">
        <v>595</v>
      </c>
    </row>
    <row r="6" spans="1:11" ht="24" x14ac:dyDescent="0.25">
      <c r="A6" s="879"/>
      <c r="B6" s="880"/>
      <c r="C6" s="596" t="s">
        <v>596</v>
      </c>
      <c r="D6" s="596" t="s">
        <v>597</v>
      </c>
      <c r="E6" s="888"/>
      <c r="F6" s="890"/>
      <c r="G6" s="890"/>
      <c r="H6" s="595" t="s">
        <v>598</v>
      </c>
    </row>
    <row r="7" spans="1:11" x14ac:dyDescent="0.25">
      <c r="A7" s="598">
        <v>1</v>
      </c>
      <c r="B7" s="576" t="s">
        <v>417</v>
      </c>
      <c r="C7" s="599"/>
      <c r="D7" s="600">
        <v>32028355.86000004</v>
      </c>
      <c r="E7" s="600">
        <v>77427.731040566534</v>
      </c>
      <c r="F7" s="601"/>
      <c r="G7" s="601"/>
      <c r="H7" s="602">
        <f t="shared" ref="H7:H20" si="0">C7+D7-E7-F7</f>
        <v>31950928.128959473</v>
      </c>
      <c r="I7" s="623"/>
      <c r="J7" s="586"/>
    </row>
    <row r="8" spans="1:11" ht="24" x14ac:dyDescent="0.25">
      <c r="A8" s="598">
        <v>2</v>
      </c>
      <c r="B8" s="576" t="s">
        <v>418</v>
      </c>
      <c r="C8" s="599"/>
      <c r="D8" s="599">
        <v>0</v>
      </c>
      <c r="E8" s="601"/>
      <c r="F8" s="601"/>
      <c r="G8" s="601"/>
      <c r="H8" s="602">
        <f t="shared" si="0"/>
        <v>0</v>
      </c>
      <c r="I8" s="623"/>
    </row>
    <row r="9" spans="1:11" x14ac:dyDescent="0.25">
      <c r="A9" s="598">
        <v>3</v>
      </c>
      <c r="B9" s="576" t="s">
        <v>419</v>
      </c>
      <c r="C9" s="599"/>
      <c r="D9" s="599">
        <v>0</v>
      </c>
      <c r="E9" s="601"/>
      <c r="F9" s="601"/>
      <c r="G9" s="601"/>
      <c r="H9" s="602">
        <f t="shared" si="0"/>
        <v>0</v>
      </c>
      <c r="I9" s="623"/>
    </row>
    <row r="10" spans="1:11" x14ac:dyDescent="0.25">
      <c r="A10" s="598">
        <v>4</v>
      </c>
      <c r="B10" s="576" t="s">
        <v>420</v>
      </c>
      <c r="C10" s="599"/>
      <c r="D10" s="599">
        <v>0</v>
      </c>
      <c r="E10" s="601"/>
      <c r="F10" s="601"/>
      <c r="G10" s="601"/>
      <c r="H10" s="602">
        <f t="shared" si="0"/>
        <v>0</v>
      </c>
      <c r="I10" s="623"/>
    </row>
    <row r="11" spans="1:11" x14ac:dyDescent="0.25">
      <c r="A11" s="598">
        <v>5</v>
      </c>
      <c r="B11" s="576" t="s">
        <v>421</v>
      </c>
      <c r="C11" s="599"/>
      <c r="D11" s="599">
        <v>0</v>
      </c>
      <c r="E11" s="601"/>
      <c r="F11" s="601"/>
      <c r="G11" s="601"/>
      <c r="H11" s="602">
        <f t="shared" si="0"/>
        <v>0</v>
      </c>
      <c r="I11" s="623"/>
    </row>
    <row r="12" spans="1:11" x14ac:dyDescent="0.25">
      <c r="A12" s="598">
        <v>6</v>
      </c>
      <c r="B12" s="576" t="s">
        <v>422</v>
      </c>
      <c r="C12" s="603"/>
      <c r="D12" s="603">
        <v>57612367.370000027</v>
      </c>
      <c r="E12" s="604"/>
      <c r="F12" s="601"/>
      <c r="G12" s="601"/>
      <c r="H12" s="602">
        <f t="shared" si="0"/>
        <v>57612367.370000027</v>
      </c>
      <c r="I12" s="623"/>
    </row>
    <row r="13" spans="1:11" x14ac:dyDescent="0.25">
      <c r="A13" s="598">
        <v>7</v>
      </c>
      <c r="B13" s="576" t="s">
        <v>423</v>
      </c>
      <c r="C13" s="603">
        <v>1058532.6599999997</v>
      </c>
      <c r="D13" s="603">
        <v>19400271.890000004</v>
      </c>
      <c r="E13" s="605">
        <v>692462.19509044313</v>
      </c>
      <c r="F13" s="601"/>
      <c r="G13" s="601"/>
      <c r="H13" s="602">
        <f t="shared" si="0"/>
        <v>19766342.354909562</v>
      </c>
      <c r="I13" s="623"/>
      <c r="K13" s="623"/>
    </row>
    <row r="14" spans="1:11" x14ac:dyDescent="0.25">
      <c r="A14" s="598">
        <v>8</v>
      </c>
      <c r="B14" s="583" t="s">
        <v>424</v>
      </c>
      <c r="C14" s="603">
        <v>231218.19999999995</v>
      </c>
      <c r="D14" s="603">
        <v>11124360.152002145</v>
      </c>
      <c r="E14" s="605">
        <v>509082.40780142124</v>
      </c>
      <c r="F14" s="601"/>
      <c r="G14" s="599">
        <f>'19. Assets by Risk Sectors'!G34</f>
        <v>0</v>
      </c>
      <c r="H14" s="602">
        <f t="shared" si="0"/>
        <v>10846495.944200723</v>
      </c>
      <c r="I14" s="623"/>
    </row>
    <row r="15" spans="1:11" x14ac:dyDescent="0.25">
      <c r="A15" s="598">
        <v>9</v>
      </c>
      <c r="B15" s="576" t="s">
        <v>425</v>
      </c>
      <c r="C15" s="603"/>
      <c r="D15" s="603">
        <v>0</v>
      </c>
      <c r="E15" s="604"/>
      <c r="F15" s="601"/>
      <c r="G15" s="601"/>
      <c r="H15" s="602">
        <f t="shared" si="0"/>
        <v>0</v>
      </c>
      <c r="I15" s="622"/>
    </row>
    <row r="16" spans="1:11" x14ac:dyDescent="0.25">
      <c r="A16" s="598">
        <v>10</v>
      </c>
      <c r="B16" s="587" t="s">
        <v>426</v>
      </c>
      <c r="C16" s="603">
        <v>1151334.2599999998</v>
      </c>
      <c r="D16" s="603">
        <v>0</v>
      </c>
      <c r="E16" s="603">
        <v>419352.12160426663</v>
      </c>
      <c r="F16" s="601"/>
      <c r="G16" s="601"/>
      <c r="H16" s="602">
        <f t="shared" si="0"/>
        <v>731982.1383957332</v>
      </c>
      <c r="I16" s="623"/>
    </row>
    <row r="17" spans="1:9" x14ac:dyDescent="0.25">
      <c r="A17" s="598">
        <v>11</v>
      </c>
      <c r="B17" s="576" t="s">
        <v>427</v>
      </c>
      <c r="C17" s="603">
        <v>0</v>
      </c>
      <c r="D17" s="603">
        <v>0</v>
      </c>
      <c r="E17" s="603">
        <v>0</v>
      </c>
      <c r="F17" s="601"/>
      <c r="G17" s="601"/>
      <c r="H17" s="602">
        <f t="shared" si="0"/>
        <v>0</v>
      </c>
      <c r="I17" s="623"/>
    </row>
    <row r="18" spans="1:9" x14ac:dyDescent="0.25">
      <c r="A18" s="598">
        <v>12</v>
      </c>
      <c r="B18" s="576" t="s">
        <v>428</v>
      </c>
      <c r="C18" s="603"/>
      <c r="D18" s="603">
        <v>0</v>
      </c>
      <c r="E18" s="604"/>
      <c r="F18" s="601"/>
      <c r="G18" s="601"/>
      <c r="H18" s="602">
        <f t="shared" si="0"/>
        <v>0</v>
      </c>
      <c r="I18" s="623"/>
    </row>
    <row r="19" spans="1:9" x14ac:dyDescent="0.25">
      <c r="A19" s="606">
        <v>13</v>
      </c>
      <c r="B19" s="583" t="s">
        <v>429</v>
      </c>
      <c r="C19" s="603"/>
      <c r="D19" s="603">
        <v>0</v>
      </c>
      <c r="E19" s="604"/>
      <c r="F19" s="601"/>
      <c r="G19" s="601"/>
      <c r="H19" s="602">
        <f t="shared" si="0"/>
        <v>0</v>
      </c>
      <c r="I19" s="623"/>
    </row>
    <row r="20" spans="1:9" x14ac:dyDescent="0.25">
      <c r="A20" s="598">
        <v>14</v>
      </c>
      <c r="B20" s="576" t="s">
        <v>430</v>
      </c>
      <c r="C20" s="603">
        <v>92689.03</v>
      </c>
      <c r="D20" s="607">
        <v>28800405.441507362</v>
      </c>
      <c r="E20" s="605">
        <f>C20</f>
        <v>92689.03</v>
      </c>
      <c r="F20" s="601"/>
      <c r="G20" s="601"/>
      <c r="H20" s="602">
        <f t="shared" si="0"/>
        <v>28800405.441507362</v>
      </c>
      <c r="I20" s="623"/>
    </row>
    <row r="21" spans="1:9" s="612" customFormat="1" x14ac:dyDescent="0.25">
      <c r="A21" s="608">
        <v>15</v>
      </c>
      <c r="B21" s="609" t="s">
        <v>103</v>
      </c>
      <c r="C21" s="610">
        <f t="shared" ref="C21:H21" si="1">SUM(C7:C15)+SUM(C17:C20)</f>
        <v>1382439.8899999997</v>
      </c>
      <c r="D21" s="610">
        <f t="shared" si="1"/>
        <v>148965760.71350956</v>
      </c>
      <c r="E21" s="611">
        <f t="shared" si="1"/>
        <v>1371661.363932431</v>
      </c>
      <c r="F21" s="609">
        <f t="shared" si="1"/>
        <v>0</v>
      </c>
      <c r="G21" s="609">
        <f t="shared" si="1"/>
        <v>0</v>
      </c>
      <c r="H21" s="602">
        <f t="shared" si="1"/>
        <v>148976539.23957714</v>
      </c>
    </row>
    <row r="22" spans="1:9" x14ac:dyDescent="0.25">
      <c r="A22" s="613">
        <v>16</v>
      </c>
      <c r="B22" s="614" t="s">
        <v>599</v>
      </c>
      <c r="C22" s="603">
        <f>C13+C14+C17</f>
        <v>1289750.8599999996</v>
      </c>
      <c r="D22" s="603">
        <f>D13+D14+D17</f>
        <v>30524632.042002149</v>
      </c>
      <c r="E22" s="603">
        <f>E13+E14+E17</f>
        <v>1201544.6028918643</v>
      </c>
      <c r="F22" s="603">
        <f>F13+F14+F17</f>
        <v>0</v>
      </c>
      <c r="G22" s="607">
        <f>G13+G14+G17</f>
        <v>0</v>
      </c>
      <c r="H22" s="602">
        <f>C22+D22-E22-F22</f>
        <v>30612838.299110286</v>
      </c>
    </row>
    <row r="23" spans="1:9" x14ac:dyDescent="0.25">
      <c r="A23" s="613">
        <v>17</v>
      </c>
      <c r="B23" s="615" t="s">
        <v>600</v>
      </c>
      <c r="C23" s="603"/>
      <c r="D23" s="607">
        <v>24908677.41</v>
      </c>
      <c r="E23" s="607">
        <v>-77427.731040566534</v>
      </c>
      <c r="F23" s="601"/>
      <c r="G23" s="601"/>
      <c r="H23" s="602">
        <f>C23+D23-E23-F23</f>
        <v>24986105.141040567</v>
      </c>
    </row>
    <row r="24" spans="1:9" x14ac:dyDescent="0.25">
      <c r="D24" s="580"/>
      <c r="H24" s="779"/>
    </row>
    <row r="26" spans="1:9" ht="42.6" customHeight="1" x14ac:dyDescent="0.25">
      <c r="B26" s="591" t="s">
        <v>582</v>
      </c>
    </row>
  </sheetData>
  <mergeCells count="5">
    <mergeCell ref="A5:B6"/>
    <mergeCell ref="C5:D5"/>
    <mergeCell ref="E5:E6"/>
    <mergeCell ref="F5:F6"/>
    <mergeCell ref="G5:G6"/>
  </mergeCells>
  <conditionalFormatting sqref="A5">
    <cfRule type="duplicateValues" dxfId="23" priority="1"/>
    <cfRule type="duplicateValues" dxfId="22" priority="2"/>
    <cfRule type="duplicateValues" dxfId="21"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A8505-53E5-4176-9E1D-F29540898D95}">
  <dimension ref="A1:H40"/>
  <sheetViews>
    <sheetView showGridLines="0" topLeftCell="C1" zoomScale="115" zoomScaleNormal="115" workbookViewId="0">
      <selection activeCell="C7" sqref="C7:H34"/>
    </sheetView>
  </sheetViews>
  <sheetFormatPr defaultColWidth="9.109375" defaultRowHeight="12" x14ac:dyDescent="0.25"/>
  <cols>
    <col min="1" max="1" width="11" style="571" bestFit="1" customWidth="1"/>
    <col min="2" max="2" width="93.44140625" style="571" customWidth="1"/>
    <col min="3" max="5" width="22" style="571" customWidth="1"/>
    <col min="6" max="6" width="21.33203125" style="571" customWidth="1"/>
    <col min="7" max="7" width="26.88671875" style="571" customWidth="1"/>
    <col min="8" max="8" width="21.88671875" style="571" customWidth="1"/>
    <col min="9" max="16384" width="9.109375" style="571"/>
  </cols>
  <sheetData>
    <row r="1" spans="1:8" ht="13.8" x14ac:dyDescent="0.3">
      <c r="A1" s="570" t="s">
        <v>41</v>
      </c>
      <c r="B1" s="22" t="str">
        <f>Info!C2</f>
        <v>სს სილქ ბანკი</v>
      </c>
      <c r="C1" s="592"/>
      <c r="D1" s="592"/>
      <c r="E1" s="592"/>
      <c r="F1" s="592"/>
      <c r="G1" s="592"/>
      <c r="H1" s="592"/>
    </row>
    <row r="2" spans="1:8" x14ac:dyDescent="0.25">
      <c r="A2" s="570" t="s">
        <v>42</v>
      </c>
      <c r="B2" s="572">
        <f>'1. key ratios'!B2</f>
        <v>45199</v>
      </c>
      <c r="C2" s="592"/>
      <c r="D2" s="592"/>
      <c r="E2" s="592"/>
      <c r="F2" s="592"/>
      <c r="G2" s="592"/>
      <c r="H2" s="592"/>
    </row>
    <row r="3" spans="1:8" x14ac:dyDescent="0.25">
      <c r="A3" s="573" t="s">
        <v>601</v>
      </c>
      <c r="B3" s="592"/>
      <c r="C3" s="592"/>
      <c r="D3" s="592"/>
      <c r="E3" s="592"/>
      <c r="F3" s="592"/>
      <c r="G3" s="592"/>
      <c r="H3" s="592"/>
    </row>
    <row r="4" spans="1:8" ht="14.25" customHeight="1" x14ac:dyDescent="0.25">
      <c r="A4" s="592"/>
      <c r="B4" s="592"/>
      <c r="C4" s="594" t="s">
        <v>584</v>
      </c>
      <c r="D4" s="594" t="s">
        <v>585</v>
      </c>
      <c r="E4" s="594" t="s">
        <v>586</v>
      </c>
      <c r="F4" s="594" t="s">
        <v>587</v>
      </c>
      <c r="G4" s="594" t="s">
        <v>588</v>
      </c>
      <c r="H4" s="594" t="s">
        <v>589</v>
      </c>
    </row>
    <row r="5" spans="1:8" ht="41.4" customHeight="1" x14ac:dyDescent="0.25">
      <c r="A5" s="875" t="s">
        <v>602</v>
      </c>
      <c r="B5" s="876"/>
      <c r="C5" s="891" t="s">
        <v>591</v>
      </c>
      <c r="D5" s="892"/>
      <c r="E5" s="889" t="s">
        <v>603</v>
      </c>
      <c r="F5" s="889" t="s">
        <v>593</v>
      </c>
      <c r="G5" s="889" t="s">
        <v>594</v>
      </c>
      <c r="H5" s="595" t="s">
        <v>595</v>
      </c>
    </row>
    <row r="6" spans="1:8" ht="36" x14ac:dyDescent="0.25">
      <c r="A6" s="879"/>
      <c r="B6" s="880"/>
      <c r="C6" s="596" t="s">
        <v>596</v>
      </c>
      <c r="D6" s="596" t="s">
        <v>597</v>
      </c>
      <c r="E6" s="890"/>
      <c r="F6" s="890"/>
      <c r="G6" s="890"/>
      <c r="H6" s="595" t="s">
        <v>598</v>
      </c>
    </row>
    <row r="7" spans="1:8" x14ac:dyDescent="0.25">
      <c r="A7" s="601">
        <v>1</v>
      </c>
      <c r="B7" s="618" t="s">
        <v>604</v>
      </c>
      <c r="C7" s="599">
        <v>1143.0199999999998</v>
      </c>
      <c r="D7" s="599">
        <v>32970407.97000004</v>
      </c>
      <c r="E7" s="599">
        <v>115452.50697513844</v>
      </c>
      <c r="F7" s="599"/>
      <c r="G7" s="601"/>
      <c r="H7" s="602">
        <f t="shared" ref="H7:H34" si="0">C7+D7-E7-F7</f>
        <v>32856098.483024903</v>
      </c>
    </row>
    <row r="8" spans="1:8" x14ac:dyDescent="0.25">
      <c r="A8" s="601">
        <v>2</v>
      </c>
      <c r="B8" s="618" t="s">
        <v>605</v>
      </c>
      <c r="C8" s="599">
        <v>3544.8</v>
      </c>
      <c r="D8" s="599">
        <v>58634951.68000003</v>
      </c>
      <c r="E8" s="599">
        <v>43520.295489254597</v>
      </c>
      <c r="F8" s="599"/>
      <c r="G8" s="601"/>
      <c r="H8" s="602">
        <f t="shared" si="0"/>
        <v>58594976.184510775</v>
      </c>
    </row>
    <row r="9" spans="1:8" x14ac:dyDescent="0.25">
      <c r="A9" s="601">
        <v>3</v>
      </c>
      <c r="B9" s="618" t="s">
        <v>606</v>
      </c>
      <c r="C9" s="599">
        <v>0</v>
      </c>
      <c r="D9" s="599">
        <v>0</v>
      </c>
      <c r="E9" s="599">
        <v>0</v>
      </c>
      <c r="F9" s="599"/>
      <c r="G9" s="601"/>
      <c r="H9" s="602">
        <f t="shared" si="0"/>
        <v>0</v>
      </c>
    </row>
    <row r="10" spans="1:8" x14ac:dyDescent="0.25">
      <c r="A10" s="601">
        <v>4</v>
      </c>
      <c r="B10" s="618" t="s">
        <v>607</v>
      </c>
      <c r="C10" s="599">
        <v>0</v>
      </c>
      <c r="D10" s="599">
        <v>6036824.580000001</v>
      </c>
      <c r="E10" s="599">
        <v>105189.14288372996</v>
      </c>
      <c r="F10" s="599"/>
      <c r="G10" s="601"/>
      <c r="H10" s="602">
        <f t="shared" si="0"/>
        <v>5931635.4371162709</v>
      </c>
    </row>
    <row r="11" spans="1:8" x14ac:dyDescent="0.25">
      <c r="A11" s="601">
        <v>5</v>
      </c>
      <c r="B11" s="618" t="s">
        <v>608</v>
      </c>
      <c r="C11" s="599">
        <v>0</v>
      </c>
      <c r="D11" s="599">
        <v>7188987.5799999982</v>
      </c>
      <c r="E11" s="599">
        <v>103676.21252580281</v>
      </c>
      <c r="F11" s="599"/>
      <c r="G11" s="601"/>
      <c r="H11" s="602">
        <f t="shared" si="0"/>
        <v>7085311.3674741955</v>
      </c>
    </row>
    <row r="12" spans="1:8" x14ac:dyDescent="0.25">
      <c r="A12" s="601">
        <v>6</v>
      </c>
      <c r="B12" s="618" t="s">
        <v>609</v>
      </c>
      <c r="C12" s="599">
        <v>0</v>
      </c>
      <c r="D12" s="599">
        <v>222302.16999999998</v>
      </c>
      <c r="E12" s="599">
        <v>10432.362118976203</v>
      </c>
      <c r="F12" s="599"/>
      <c r="G12" s="601"/>
      <c r="H12" s="602">
        <f t="shared" si="0"/>
        <v>211869.80788102379</v>
      </c>
    </row>
    <row r="13" spans="1:8" x14ac:dyDescent="0.25">
      <c r="A13" s="601">
        <v>7</v>
      </c>
      <c r="B13" s="618" t="s">
        <v>611</v>
      </c>
      <c r="C13" s="599">
        <v>276.11</v>
      </c>
      <c r="D13" s="599">
        <v>1215021.5200000003</v>
      </c>
      <c r="E13" s="599">
        <v>19437.12641956727</v>
      </c>
      <c r="F13" s="599"/>
      <c r="G13" s="601">
        <v>418.95</v>
      </c>
      <c r="H13" s="602">
        <f t="shared" si="0"/>
        <v>1195860.5035804331</v>
      </c>
    </row>
    <row r="14" spans="1:8" x14ac:dyDescent="0.25">
      <c r="A14" s="601">
        <v>8</v>
      </c>
      <c r="B14" s="618" t="s">
        <v>612</v>
      </c>
      <c r="C14" s="599">
        <v>440.07</v>
      </c>
      <c r="D14" s="599">
        <v>250590.17999999996</v>
      </c>
      <c r="E14" s="599">
        <v>32013.195445533773</v>
      </c>
      <c r="F14" s="599"/>
      <c r="G14" s="601"/>
      <c r="H14" s="602">
        <f t="shared" si="0"/>
        <v>219017.05455446619</v>
      </c>
    </row>
    <row r="15" spans="1:8" x14ac:dyDescent="0.25">
      <c r="A15" s="601">
        <v>9</v>
      </c>
      <c r="B15" s="618" t="s">
        <v>613</v>
      </c>
      <c r="C15" s="599">
        <v>62.64</v>
      </c>
      <c r="D15" s="599">
        <v>11447.199999999999</v>
      </c>
      <c r="E15" s="599">
        <v>300.8203183689692</v>
      </c>
      <c r="F15" s="599"/>
      <c r="G15" s="601"/>
      <c r="H15" s="602">
        <f t="shared" si="0"/>
        <v>11209.019681631029</v>
      </c>
    </row>
    <row r="16" spans="1:8" x14ac:dyDescent="0.25">
      <c r="A16" s="601">
        <v>10</v>
      </c>
      <c r="B16" s="618" t="s">
        <v>614</v>
      </c>
      <c r="C16" s="599">
        <v>0</v>
      </c>
      <c r="D16" s="599">
        <v>11415.220000000001</v>
      </c>
      <c r="E16" s="599">
        <v>122.37147559479126</v>
      </c>
      <c r="F16" s="599"/>
      <c r="G16" s="601"/>
      <c r="H16" s="602">
        <f t="shared" si="0"/>
        <v>11292.84852440521</v>
      </c>
    </row>
    <row r="17" spans="1:8" x14ac:dyDescent="0.25">
      <c r="A17" s="601">
        <v>11</v>
      </c>
      <c r="B17" s="618" t="s">
        <v>615</v>
      </c>
      <c r="C17" s="599">
        <v>0</v>
      </c>
      <c r="D17" s="599">
        <v>23732.629999999997</v>
      </c>
      <c r="E17" s="599">
        <v>683.36706197472233</v>
      </c>
      <c r="F17" s="599"/>
      <c r="G17" s="601"/>
      <c r="H17" s="602">
        <f t="shared" si="0"/>
        <v>23049.262938025277</v>
      </c>
    </row>
    <row r="18" spans="1:8" x14ac:dyDescent="0.25">
      <c r="A18" s="601">
        <v>12</v>
      </c>
      <c r="B18" s="618" t="s">
        <v>616</v>
      </c>
      <c r="C18" s="599">
        <v>328.97</v>
      </c>
      <c r="D18" s="599">
        <v>257544.8</v>
      </c>
      <c r="E18" s="599">
        <v>7796.6939307300881</v>
      </c>
      <c r="F18" s="599"/>
      <c r="G18" s="601">
        <v>176.97</v>
      </c>
      <c r="H18" s="602">
        <f t="shared" si="0"/>
        <v>250077.07606926991</v>
      </c>
    </row>
    <row r="19" spans="1:8" x14ac:dyDescent="0.25">
      <c r="A19" s="601">
        <v>13</v>
      </c>
      <c r="B19" s="618" t="s">
        <v>617</v>
      </c>
      <c r="C19" s="599">
        <v>177.77</v>
      </c>
      <c r="D19" s="599">
        <v>540791.3899999999</v>
      </c>
      <c r="E19" s="599">
        <v>7223.649850556927</v>
      </c>
      <c r="F19" s="599"/>
      <c r="G19" s="601"/>
      <c r="H19" s="602">
        <f t="shared" si="0"/>
        <v>533745.51014944294</v>
      </c>
    </row>
    <row r="20" spans="1:8" x14ac:dyDescent="0.25">
      <c r="A20" s="601">
        <v>14</v>
      </c>
      <c r="B20" s="618" t="s">
        <v>618</v>
      </c>
      <c r="C20" s="599">
        <v>0</v>
      </c>
      <c r="D20" s="599">
        <v>1380575.2099999995</v>
      </c>
      <c r="E20" s="599">
        <v>27811.878829883972</v>
      </c>
      <c r="F20" s="599"/>
      <c r="G20" s="601"/>
      <c r="H20" s="602">
        <f t="shared" si="0"/>
        <v>1352763.3311701156</v>
      </c>
    </row>
    <row r="21" spans="1:8" x14ac:dyDescent="0.25">
      <c r="A21" s="601">
        <v>15</v>
      </c>
      <c r="B21" s="618" t="s">
        <v>619</v>
      </c>
      <c r="C21" s="599">
        <v>0</v>
      </c>
      <c r="D21" s="599">
        <v>43463.77</v>
      </c>
      <c r="E21" s="599">
        <v>1763.3207272008897</v>
      </c>
      <c r="F21" s="599"/>
      <c r="G21" s="601"/>
      <c r="H21" s="602">
        <f t="shared" si="0"/>
        <v>41700.449272799109</v>
      </c>
    </row>
    <row r="22" spans="1:8" x14ac:dyDescent="0.25">
      <c r="A22" s="601">
        <v>16</v>
      </c>
      <c r="B22" s="614" t="s">
        <v>620</v>
      </c>
      <c r="C22" s="599">
        <v>0</v>
      </c>
      <c r="D22" s="599">
        <v>28133.15</v>
      </c>
      <c r="E22" s="599">
        <v>1125.326</v>
      </c>
      <c r="F22" s="599"/>
      <c r="G22" s="601"/>
      <c r="H22" s="602">
        <f t="shared" si="0"/>
        <v>27007.824000000001</v>
      </c>
    </row>
    <row r="23" spans="1:8" x14ac:dyDescent="0.25">
      <c r="A23" s="601">
        <v>17</v>
      </c>
      <c r="B23" s="618" t="s">
        <v>621</v>
      </c>
      <c r="C23" s="599">
        <v>6734.65</v>
      </c>
      <c r="D23" s="599">
        <v>49712.28</v>
      </c>
      <c r="E23" s="599">
        <v>5373.6738343159877</v>
      </c>
      <c r="F23" s="599"/>
      <c r="G23" s="601"/>
      <c r="H23" s="602">
        <f t="shared" si="0"/>
        <v>51073.256165684012</v>
      </c>
    </row>
    <row r="24" spans="1:8" x14ac:dyDescent="0.25">
      <c r="A24" s="601">
        <v>18</v>
      </c>
      <c r="B24" s="618" t="s">
        <v>623</v>
      </c>
      <c r="C24" s="599">
        <v>0</v>
      </c>
      <c r="D24" s="599">
        <v>82298.719999999987</v>
      </c>
      <c r="E24" s="599">
        <v>1833.4860953657667</v>
      </c>
      <c r="F24" s="599"/>
      <c r="G24" s="601"/>
      <c r="H24" s="602">
        <f t="shared" si="0"/>
        <v>80465.233904634224</v>
      </c>
    </row>
    <row r="25" spans="1:8" x14ac:dyDescent="0.25">
      <c r="A25" s="601">
        <v>19</v>
      </c>
      <c r="B25" s="618" t="s">
        <v>624</v>
      </c>
      <c r="C25" s="599">
        <v>0</v>
      </c>
      <c r="D25" s="599">
        <v>130828.8</v>
      </c>
      <c r="E25" s="599">
        <v>4520.4379748266501</v>
      </c>
      <c r="F25" s="599"/>
      <c r="G25" s="601"/>
      <c r="H25" s="602">
        <f t="shared" si="0"/>
        <v>126308.36202517335</v>
      </c>
    </row>
    <row r="26" spans="1:8" x14ac:dyDescent="0.25">
      <c r="A26" s="601">
        <v>20</v>
      </c>
      <c r="B26" s="618" t="s">
        <v>625</v>
      </c>
      <c r="C26" s="599">
        <v>322.42</v>
      </c>
      <c r="D26" s="599">
        <v>86367.6</v>
      </c>
      <c r="E26" s="599">
        <v>2813.398702900929</v>
      </c>
      <c r="F26" s="599"/>
      <c r="G26" s="601"/>
      <c r="H26" s="602">
        <f t="shared" si="0"/>
        <v>83876.621297099075</v>
      </c>
    </row>
    <row r="27" spans="1:8" x14ac:dyDescent="0.25">
      <c r="A27" s="601">
        <v>21</v>
      </c>
      <c r="B27" s="618" t="s">
        <v>626</v>
      </c>
      <c r="C27" s="599">
        <v>0</v>
      </c>
      <c r="D27" s="599">
        <v>143686.34999999998</v>
      </c>
      <c r="E27" s="599">
        <v>7170.1200954827309</v>
      </c>
      <c r="F27" s="599"/>
      <c r="G27" s="601"/>
      <c r="H27" s="602">
        <f t="shared" si="0"/>
        <v>136516.22990451724</v>
      </c>
    </row>
    <row r="28" spans="1:8" x14ac:dyDescent="0.25">
      <c r="A28" s="601">
        <v>22</v>
      </c>
      <c r="B28" s="618" t="s">
        <v>627</v>
      </c>
      <c r="C28" s="599">
        <v>44306.69</v>
      </c>
      <c r="D28" s="599">
        <v>2483616.0200000014</v>
      </c>
      <c r="E28" s="599">
        <v>128892.83928580859</v>
      </c>
      <c r="F28" s="599"/>
      <c r="G28" s="601"/>
      <c r="H28" s="602">
        <f t="shared" si="0"/>
        <v>2399029.8707141927</v>
      </c>
    </row>
    <row r="29" spans="1:8" x14ac:dyDescent="0.25">
      <c r="A29" s="601">
        <v>23</v>
      </c>
      <c r="B29" s="618" t="s">
        <v>628</v>
      </c>
      <c r="C29" s="599">
        <v>94412.45</v>
      </c>
      <c r="D29" s="599">
        <v>3619410.279999997</v>
      </c>
      <c r="E29" s="599">
        <v>147029.4962633758</v>
      </c>
      <c r="F29" s="599"/>
      <c r="G29" s="601">
        <v>1474.81</v>
      </c>
      <c r="H29" s="602">
        <f t="shared" si="0"/>
        <v>3566793.2337366212</v>
      </c>
    </row>
    <row r="30" spans="1:8" x14ac:dyDescent="0.25">
      <c r="A30" s="601">
        <v>24</v>
      </c>
      <c r="B30" s="618" t="s">
        <v>629</v>
      </c>
      <c r="C30" s="599">
        <v>1058532.6599999999</v>
      </c>
      <c r="D30" s="599">
        <v>601588.61</v>
      </c>
      <c r="E30" s="599">
        <v>371239.3771010724</v>
      </c>
      <c r="F30" s="599"/>
      <c r="G30" s="601"/>
      <c r="H30" s="602">
        <f t="shared" si="0"/>
        <v>1288881.8928989277</v>
      </c>
    </row>
    <row r="31" spans="1:8" x14ac:dyDescent="0.25">
      <c r="A31" s="601">
        <v>25</v>
      </c>
      <c r="B31" s="618" t="s">
        <v>223</v>
      </c>
      <c r="C31" s="599">
        <v>79468.609999999986</v>
      </c>
      <c r="D31" s="599">
        <v>4151657.5620021555</v>
      </c>
      <c r="E31" s="599">
        <v>133551.234526969</v>
      </c>
      <c r="F31" s="599"/>
      <c r="G31" s="601"/>
      <c r="H31" s="602">
        <f t="shared" si="0"/>
        <v>4097574.9374751863</v>
      </c>
    </row>
    <row r="32" spans="1:8" x14ac:dyDescent="0.25">
      <c r="A32" s="601">
        <v>26</v>
      </c>
      <c r="B32" s="618" t="s">
        <v>630</v>
      </c>
      <c r="C32" s="599">
        <v>0</v>
      </c>
      <c r="D32" s="599">
        <v>0</v>
      </c>
      <c r="E32" s="599">
        <v>0</v>
      </c>
      <c r="F32" s="599"/>
      <c r="G32" s="601"/>
      <c r="H32" s="602">
        <f t="shared" si="0"/>
        <v>0</v>
      </c>
    </row>
    <row r="33" spans="1:8" x14ac:dyDescent="0.25">
      <c r="A33" s="601">
        <v>27</v>
      </c>
      <c r="B33" s="601" t="s">
        <v>129</v>
      </c>
      <c r="C33" s="599">
        <f>'18. Assets by Exposure classes'!C20</f>
        <v>92689.03</v>
      </c>
      <c r="D33" s="599">
        <f>'18. Assets by Exposure classes'!D20</f>
        <v>28800405.441507362</v>
      </c>
      <c r="E33" s="599">
        <f>'18. Assets by Exposure classes'!E20</f>
        <v>92689.03</v>
      </c>
      <c r="F33" s="601"/>
      <c r="G33" s="601"/>
      <c r="H33" s="602">
        <f t="shared" si="0"/>
        <v>28800405.441507362</v>
      </c>
    </row>
    <row r="34" spans="1:8" x14ac:dyDescent="0.25">
      <c r="A34" s="601">
        <v>28</v>
      </c>
      <c r="B34" s="609" t="s">
        <v>103</v>
      </c>
      <c r="C34" s="619">
        <f>SUM(C7:C33)</f>
        <v>1382439.89</v>
      </c>
      <c r="D34" s="619">
        <f>SUM(D7:D33)</f>
        <v>148965760.71350956</v>
      </c>
      <c r="E34" s="619">
        <f>SUM(E7:E33)</f>
        <v>1371661.3639324312</v>
      </c>
      <c r="F34" s="620">
        <f>SUM(F7:F33)</f>
        <v>0</v>
      </c>
      <c r="G34" s="609"/>
      <c r="H34" s="602">
        <f t="shared" si="0"/>
        <v>148976539.23957711</v>
      </c>
    </row>
    <row r="35" spans="1:8" x14ac:dyDescent="0.25">
      <c r="C35" s="781"/>
      <c r="D35" s="781"/>
      <c r="E35" s="781"/>
      <c r="F35" s="781"/>
      <c r="G35" s="781"/>
      <c r="H35" s="781"/>
    </row>
    <row r="36" spans="1:8" x14ac:dyDescent="0.25">
      <c r="B36" s="621"/>
      <c r="C36" s="781"/>
      <c r="D36" s="781"/>
      <c r="E36" s="781"/>
      <c r="F36" s="622"/>
      <c r="G36" s="622"/>
      <c r="H36" s="623"/>
    </row>
    <row r="37" spans="1:8" x14ac:dyDescent="0.25">
      <c r="F37" s="624"/>
    </row>
    <row r="38" spans="1:8" x14ac:dyDescent="0.25">
      <c r="C38" s="623"/>
      <c r="D38" s="623"/>
      <c r="E38" s="623"/>
      <c r="F38" s="624"/>
    </row>
    <row r="40" spans="1:8" x14ac:dyDescent="0.25">
      <c r="E40" s="624"/>
    </row>
  </sheetData>
  <mergeCells count="5">
    <mergeCell ref="A5:B6"/>
    <mergeCell ref="C5:D5"/>
    <mergeCell ref="E5:E6"/>
    <mergeCell ref="F5:F6"/>
    <mergeCell ref="G5:G6"/>
  </mergeCells>
  <conditionalFormatting sqref="A5">
    <cfRule type="duplicateValues" dxfId="20" priority="2"/>
    <cfRule type="duplicateValues" dxfId="19" priority="3"/>
    <cfRule type="duplicateValues" dxfId="18" priority="4"/>
  </conditionalFormatting>
  <conditionalFormatting sqref="B7:B31">
    <cfRule type="duplicateValues" dxfId="17" priority="5"/>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2046-1B8E-4A22-B09E-DDAB179CDE0E}">
  <dimension ref="A1:F27"/>
  <sheetViews>
    <sheetView showGridLines="0" tabSelected="1" zoomScale="115" zoomScaleNormal="115" workbookViewId="0">
      <selection activeCell="B20" sqref="B20"/>
    </sheetView>
  </sheetViews>
  <sheetFormatPr defaultColWidth="9.109375" defaultRowHeight="12" x14ac:dyDescent="0.25"/>
  <cols>
    <col min="1" max="1" width="11.88671875" style="571" bestFit="1" customWidth="1"/>
    <col min="2" max="2" width="108" style="571" bestFit="1" customWidth="1"/>
    <col min="3" max="3" width="20.33203125" style="571" customWidth="1"/>
    <col min="4" max="4" width="30.109375" style="571" customWidth="1"/>
    <col min="5" max="5" width="10.44140625" style="571" bestFit="1" customWidth="1"/>
    <col min="6" max="6" width="9.88671875" style="571" bestFit="1" customWidth="1"/>
    <col min="7" max="7" width="62.109375" style="571" customWidth="1"/>
    <col min="8" max="16384" width="9.109375" style="571"/>
  </cols>
  <sheetData>
    <row r="1" spans="1:6" ht="13.8" x14ac:dyDescent="0.3">
      <c r="A1" s="570" t="s">
        <v>41</v>
      </c>
      <c r="B1" s="22" t="str">
        <f>Info!C2</f>
        <v>სს სილქ ბანკი</v>
      </c>
    </row>
    <row r="2" spans="1:6" x14ac:dyDescent="0.25">
      <c r="A2" s="570" t="s">
        <v>42</v>
      </c>
      <c r="B2" s="572">
        <f>'1. key ratios'!B2</f>
        <v>45199</v>
      </c>
    </row>
    <row r="3" spans="1:6" x14ac:dyDescent="0.25">
      <c r="A3" s="573" t="s">
        <v>631</v>
      </c>
    </row>
    <row r="4" spans="1:6" ht="40.5" customHeight="1" x14ac:dyDescent="0.25"/>
    <row r="5" spans="1:6" ht="41.25" customHeight="1" x14ac:dyDescent="0.25">
      <c r="A5" s="893" t="s">
        <v>632</v>
      </c>
      <c r="B5" s="893"/>
      <c r="C5" s="574" t="s">
        <v>633</v>
      </c>
      <c r="D5" s="574" t="s">
        <v>634</v>
      </c>
    </row>
    <row r="6" spans="1:6" x14ac:dyDescent="0.25">
      <c r="A6" s="625">
        <v>1</v>
      </c>
      <c r="B6" s="626" t="s">
        <v>635</v>
      </c>
      <c r="C6" s="627">
        <v>1002911.7235428479</v>
      </c>
      <c r="D6" s="578">
        <v>78380.975982730102</v>
      </c>
    </row>
    <row r="7" spans="1:6" x14ac:dyDescent="0.25">
      <c r="A7" s="628">
        <v>2</v>
      </c>
      <c r="B7" s="626" t="s">
        <v>636</v>
      </c>
      <c r="C7" s="578">
        <v>275704.80750285747</v>
      </c>
      <c r="D7" s="578">
        <f>D9</f>
        <v>0</v>
      </c>
      <c r="E7" s="580"/>
      <c r="F7" s="580"/>
    </row>
    <row r="8" spans="1:6" x14ac:dyDescent="0.25">
      <c r="A8" s="629">
        <v>2.1</v>
      </c>
      <c r="B8" s="630" t="s">
        <v>637</v>
      </c>
      <c r="C8" s="578">
        <v>232341.37691535152</v>
      </c>
      <c r="D8" s="578"/>
      <c r="E8" s="580"/>
      <c r="F8" s="580"/>
    </row>
    <row r="9" spans="1:6" x14ac:dyDescent="0.25">
      <c r="A9" s="629">
        <v>2.2000000000000002</v>
      </c>
      <c r="B9" s="630" t="s">
        <v>638</v>
      </c>
      <c r="C9" s="578">
        <v>43363.430587505936</v>
      </c>
      <c r="D9" s="577"/>
      <c r="E9" s="580"/>
      <c r="F9" s="580"/>
    </row>
    <row r="10" spans="1:6" x14ac:dyDescent="0.25">
      <c r="A10" s="625">
        <v>3</v>
      </c>
      <c r="B10" s="626" t="s">
        <v>639</v>
      </c>
      <c r="C10" s="578">
        <v>80011.533293094733</v>
      </c>
      <c r="D10" s="578">
        <f>D11+D12+D13+D14</f>
        <v>953.630325399247</v>
      </c>
      <c r="E10" s="580"/>
      <c r="F10" s="580"/>
    </row>
    <row r="11" spans="1:6" x14ac:dyDescent="0.25">
      <c r="A11" s="629">
        <v>3.1</v>
      </c>
      <c r="B11" s="630" t="s">
        <v>640</v>
      </c>
      <c r="C11" s="578">
        <v>2070.73</v>
      </c>
      <c r="D11" s="578"/>
      <c r="E11" s="580"/>
      <c r="F11" s="580"/>
    </row>
    <row r="12" spans="1:6" x14ac:dyDescent="0.25">
      <c r="A12" s="629">
        <v>3.2</v>
      </c>
      <c r="B12" s="630" t="s">
        <v>641</v>
      </c>
      <c r="C12" s="578">
        <v>44420.118500015029</v>
      </c>
      <c r="D12" s="578"/>
      <c r="E12" s="580"/>
      <c r="F12" s="580"/>
    </row>
    <row r="13" spans="1:6" x14ac:dyDescent="0.25">
      <c r="A13" s="629">
        <v>3.3</v>
      </c>
      <c r="B13" s="630" t="s">
        <v>642</v>
      </c>
      <c r="C13" s="578">
        <v>33520.684793079701</v>
      </c>
      <c r="D13" s="578">
        <v>953.630325399247</v>
      </c>
      <c r="E13" s="580"/>
      <c r="F13" s="580"/>
    </row>
    <row r="14" spans="1:6" x14ac:dyDescent="0.25">
      <c r="A14" s="628">
        <v>4</v>
      </c>
      <c r="B14" s="631" t="s">
        <v>643</v>
      </c>
      <c r="C14" s="578">
        <v>2940</v>
      </c>
      <c r="D14" s="578"/>
      <c r="E14" s="623"/>
    </row>
    <row r="15" spans="1:6" x14ac:dyDescent="0.25">
      <c r="A15" s="632">
        <v>5</v>
      </c>
      <c r="B15" s="626" t="s">
        <v>644</v>
      </c>
      <c r="C15" s="627">
        <f>C6+C7-C10+C14</f>
        <v>1201544.9977526106</v>
      </c>
      <c r="D15" s="627">
        <f>D6+D7-D10+D14</f>
        <v>77427.34565733085</v>
      </c>
      <c r="E15" s="633"/>
    </row>
    <row r="18" spans="2:3" x14ac:dyDescent="0.25">
      <c r="C18" s="580"/>
    </row>
    <row r="21" spans="2:3" x14ac:dyDescent="0.25">
      <c r="B21" s="634"/>
    </row>
    <row r="27" spans="2:3" x14ac:dyDescent="0.25">
      <c r="C27" s="58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BB11-948C-4A91-87AA-079F2AD30665}">
  <dimension ref="A1:D23"/>
  <sheetViews>
    <sheetView showGridLines="0" topLeftCell="C3" zoomScaleNormal="100" workbookViewId="0">
      <selection activeCell="C7" sqref="C7:C18"/>
    </sheetView>
  </sheetViews>
  <sheetFormatPr defaultColWidth="9.109375" defaultRowHeight="12" x14ac:dyDescent="0.25"/>
  <cols>
    <col min="1" max="1" width="11.88671875" style="592" bestFit="1" customWidth="1"/>
    <col min="2" max="2" width="128.88671875" style="592" bestFit="1" customWidth="1"/>
    <col min="3" max="3" width="37" style="592" customWidth="1"/>
    <col min="4" max="4" width="50.5546875" style="592" customWidth="1"/>
    <col min="5" max="6" width="9.109375" style="592"/>
    <col min="7" max="7" width="62.109375" style="592" customWidth="1"/>
    <col min="8" max="16384" width="9.109375" style="592"/>
  </cols>
  <sheetData>
    <row r="1" spans="1:4" ht="13.8" x14ac:dyDescent="0.3">
      <c r="A1" s="570" t="s">
        <v>41</v>
      </c>
      <c r="B1" s="22" t="str">
        <f>Info!C2</f>
        <v>სს სილქ ბანკი</v>
      </c>
    </row>
    <row r="2" spans="1:4" x14ac:dyDescent="0.25">
      <c r="A2" s="570" t="s">
        <v>42</v>
      </c>
      <c r="B2" s="572">
        <f>'1. key ratios'!B2</f>
        <v>45199</v>
      </c>
    </row>
    <row r="3" spans="1:4" x14ac:dyDescent="0.25">
      <c r="A3" s="573" t="s">
        <v>645</v>
      </c>
    </row>
    <row r="4" spans="1:4" ht="40.5" customHeight="1" x14ac:dyDescent="0.25">
      <c r="A4" s="573"/>
    </row>
    <row r="5" spans="1:4" ht="15" customHeight="1" x14ac:dyDescent="0.25">
      <c r="A5" s="894" t="s">
        <v>35</v>
      </c>
      <c r="B5" s="895"/>
      <c r="C5" s="898" t="s">
        <v>646</v>
      </c>
      <c r="D5" s="898" t="s">
        <v>647</v>
      </c>
    </row>
    <row r="6" spans="1:4" x14ac:dyDescent="0.25">
      <c r="A6" s="896"/>
      <c r="B6" s="897"/>
      <c r="C6" s="898"/>
      <c r="D6" s="898"/>
    </row>
    <row r="7" spans="1:4" x14ac:dyDescent="0.25">
      <c r="A7" s="609">
        <v>1</v>
      </c>
      <c r="B7" s="609" t="s">
        <v>648</v>
      </c>
      <c r="C7" s="600">
        <v>1247371.5999999999</v>
      </c>
      <c r="D7" s="636"/>
    </row>
    <row r="8" spans="1:4" x14ac:dyDescent="0.25">
      <c r="A8" s="601">
        <v>2</v>
      </c>
      <c r="B8" s="601" t="s">
        <v>649</v>
      </c>
      <c r="C8" s="599">
        <f>44449.99</f>
        <v>44449.99</v>
      </c>
      <c r="D8" s="636"/>
    </row>
    <row r="9" spans="1:4" x14ac:dyDescent="0.25">
      <c r="A9" s="601">
        <v>3</v>
      </c>
      <c r="B9" s="637" t="s">
        <v>650</v>
      </c>
      <c r="C9" s="599"/>
      <c r="D9" s="636"/>
    </row>
    <row r="10" spans="1:4" x14ac:dyDescent="0.25">
      <c r="A10" s="601">
        <v>4</v>
      </c>
      <c r="B10" s="601" t="s">
        <v>651</v>
      </c>
      <c r="C10" s="599">
        <f>SUM(C11:C17)</f>
        <v>-2070.73</v>
      </c>
      <c r="D10" s="636"/>
    </row>
    <row r="11" spans="1:4" x14ac:dyDescent="0.25">
      <c r="A11" s="601">
        <v>5</v>
      </c>
      <c r="B11" s="638" t="s">
        <v>652</v>
      </c>
      <c r="C11" s="599">
        <v>0</v>
      </c>
      <c r="D11" s="636"/>
    </row>
    <row r="12" spans="1:4" x14ac:dyDescent="0.25">
      <c r="A12" s="601">
        <v>6</v>
      </c>
      <c r="B12" s="638" t="s">
        <v>653</v>
      </c>
      <c r="C12" s="599">
        <v>0</v>
      </c>
      <c r="D12" s="636"/>
    </row>
    <row r="13" spans="1:4" x14ac:dyDescent="0.25">
      <c r="A13" s="601">
        <v>7</v>
      </c>
      <c r="B13" s="638" t="s">
        <v>654</v>
      </c>
      <c r="C13" s="599">
        <f>-'20. Reserves'!C11</f>
        <v>-2070.73</v>
      </c>
      <c r="D13" s="636"/>
    </row>
    <row r="14" spans="1:4" x14ac:dyDescent="0.25">
      <c r="A14" s="601">
        <v>8</v>
      </c>
      <c r="B14" s="638" t="s">
        <v>655</v>
      </c>
      <c r="C14" s="599"/>
      <c r="D14" s="601"/>
    </row>
    <row r="15" spans="1:4" x14ac:dyDescent="0.25">
      <c r="A15" s="601">
        <v>9</v>
      </c>
      <c r="B15" s="638" t="s">
        <v>656</v>
      </c>
      <c r="C15" s="599"/>
      <c r="D15" s="601"/>
    </row>
    <row r="16" spans="1:4" x14ac:dyDescent="0.25">
      <c r="A16" s="601">
        <v>10</v>
      </c>
      <c r="B16" s="638" t="s">
        <v>657</v>
      </c>
      <c r="C16" s="599"/>
      <c r="D16" s="601"/>
    </row>
    <row r="17" spans="1:4" x14ac:dyDescent="0.25">
      <c r="A17" s="601">
        <v>11</v>
      </c>
      <c r="B17" s="638" t="s">
        <v>658</v>
      </c>
      <c r="C17" s="599"/>
      <c r="D17" s="636"/>
    </row>
    <row r="18" spans="1:4" x14ac:dyDescent="0.25">
      <c r="A18" s="609">
        <v>12</v>
      </c>
      <c r="B18" s="639" t="s">
        <v>659</v>
      </c>
      <c r="C18" s="619">
        <f>'24. Risk Sector'!F33</f>
        <v>1289750.8599999999</v>
      </c>
      <c r="D18" s="636"/>
    </row>
    <row r="19" spans="1:4" x14ac:dyDescent="0.25">
      <c r="C19" s="782"/>
    </row>
    <row r="20" spans="1:4" x14ac:dyDescent="0.25">
      <c r="C20" s="783"/>
    </row>
    <row r="21" spans="1:4" x14ac:dyDescent="0.25">
      <c r="B21" s="570"/>
    </row>
    <row r="22" spans="1:4" x14ac:dyDescent="0.25">
      <c r="B22" s="640"/>
    </row>
    <row r="23" spans="1:4" x14ac:dyDescent="0.25">
      <c r="B23" s="57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685FC-C87D-49ED-92F2-EC7B34496551}">
  <dimension ref="A1:AB34"/>
  <sheetViews>
    <sheetView showGridLines="0" topLeftCell="A2" zoomScale="115" zoomScaleNormal="115" workbookViewId="0">
      <selection activeCell="C8" sqref="C8:AA28"/>
    </sheetView>
  </sheetViews>
  <sheetFormatPr defaultColWidth="9.109375" defaultRowHeight="12" x14ac:dyDescent="0.25"/>
  <cols>
    <col min="1" max="1" width="11.88671875" style="592" bestFit="1" customWidth="1"/>
    <col min="2" max="2" width="63.88671875" style="592" customWidth="1"/>
    <col min="3" max="3" width="15.5546875" style="592" customWidth="1"/>
    <col min="4" max="4" width="18.33203125" style="592" customWidth="1"/>
    <col min="5" max="6" width="22.33203125" style="592" customWidth="1"/>
    <col min="7" max="7" width="19" style="592" customWidth="1"/>
    <col min="8" max="18" width="22.33203125" style="592" customWidth="1"/>
    <col min="19" max="19" width="23.33203125" style="592" bestFit="1" customWidth="1"/>
    <col min="20" max="26" width="22.33203125" style="592" customWidth="1"/>
    <col min="27" max="27" width="23.33203125" style="592" bestFit="1" customWidth="1"/>
    <col min="28" max="28" width="20" style="592" customWidth="1"/>
    <col min="29" max="16384" width="9.109375" style="592"/>
  </cols>
  <sheetData>
    <row r="1" spans="1:28" ht="13.8" x14ac:dyDescent="0.3">
      <c r="A1" s="570" t="s">
        <v>41</v>
      </c>
      <c r="B1" s="22" t="str">
        <f>Info!C2</f>
        <v>სს სილქ ბანკი</v>
      </c>
    </row>
    <row r="2" spans="1:28" x14ac:dyDescent="0.25">
      <c r="A2" s="570" t="s">
        <v>42</v>
      </c>
      <c r="B2" s="572">
        <f>'1. key ratios'!B2</f>
        <v>45199</v>
      </c>
      <c r="C2" s="593"/>
    </row>
    <row r="3" spans="1:28" x14ac:dyDescent="0.25">
      <c r="A3" s="573" t="s">
        <v>660</v>
      </c>
      <c r="D3" s="592">
        <v>0</v>
      </c>
      <c r="E3" s="641" t="s">
        <v>661</v>
      </c>
      <c r="F3" s="642" t="s">
        <v>662</v>
      </c>
      <c r="G3" s="592" t="s">
        <v>663</v>
      </c>
      <c r="P3" s="592">
        <v>365</v>
      </c>
      <c r="Q3" s="592">
        <f>365*2</f>
        <v>730</v>
      </c>
      <c r="R3" s="592">
        <f>365*5</f>
        <v>1825</v>
      </c>
    </row>
    <row r="4" spans="1:28" ht="40.5" customHeight="1" x14ac:dyDescent="0.25">
      <c r="C4" s="643"/>
    </row>
    <row r="5" spans="1:28" ht="15" customHeight="1" x14ac:dyDescent="0.25">
      <c r="A5" s="899" t="s">
        <v>664</v>
      </c>
      <c r="B5" s="900"/>
      <c r="C5" s="891" t="s">
        <v>665</v>
      </c>
      <c r="D5" s="905"/>
      <c r="E5" s="905"/>
      <c r="F5" s="905"/>
      <c r="G5" s="905"/>
      <c r="H5" s="905"/>
      <c r="I5" s="905"/>
      <c r="J5" s="905"/>
      <c r="K5" s="905"/>
      <c r="L5" s="905"/>
      <c r="M5" s="905"/>
      <c r="N5" s="905"/>
      <c r="O5" s="905"/>
      <c r="P5" s="905"/>
      <c r="Q5" s="905"/>
      <c r="R5" s="905"/>
      <c r="S5" s="905"/>
      <c r="T5" s="644"/>
      <c r="U5" s="644"/>
      <c r="V5" s="644"/>
      <c r="W5" s="644"/>
      <c r="X5" s="644"/>
      <c r="Y5" s="644"/>
      <c r="Z5" s="644"/>
      <c r="AA5" s="617"/>
      <c r="AB5" s="641"/>
    </row>
    <row r="6" spans="1:28" x14ac:dyDescent="0.25">
      <c r="A6" s="901"/>
      <c r="B6" s="902"/>
      <c r="C6" s="906" t="s">
        <v>103</v>
      </c>
      <c r="D6" s="908" t="s">
        <v>666</v>
      </c>
      <c r="E6" s="908"/>
      <c r="F6" s="908"/>
      <c r="G6" s="908"/>
      <c r="H6" s="909" t="s">
        <v>667</v>
      </c>
      <c r="I6" s="910"/>
      <c r="J6" s="910"/>
      <c r="K6" s="911"/>
      <c r="L6" s="646"/>
      <c r="M6" s="912" t="s">
        <v>668</v>
      </c>
      <c r="N6" s="912"/>
      <c r="O6" s="912"/>
      <c r="P6" s="912"/>
      <c r="Q6" s="912"/>
      <c r="R6" s="912"/>
      <c r="S6" s="890"/>
      <c r="T6" s="645"/>
      <c r="U6" s="892" t="s">
        <v>669</v>
      </c>
      <c r="V6" s="892"/>
      <c r="W6" s="892"/>
      <c r="X6" s="892"/>
      <c r="Y6" s="892"/>
      <c r="Z6" s="892"/>
      <c r="AA6" s="888"/>
      <c r="AB6" s="646"/>
    </row>
    <row r="7" spans="1:28" ht="24" x14ac:dyDescent="0.25">
      <c r="A7" s="903"/>
      <c r="B7" s="904"/>
      <c r="C7" s="907"/>
      <c r="D7" s="648"/>
      <c r="E7" s="595" t="s">
        <v>670</v>
      </c>
      <c r="F7" s="595" t="s">
        <v>671</v>
      </c>
      <c r="G7" s="595" t="s">
        <v>672</v>
      </c>
      <c r="H7" s="649"/>
      <c r="I7" s="595" t="s">
        <v>670</v>
      </c>
      <c r="J7" s="595" t="s">
        <v>671</v>
      </c>
      <c r="K7" s="595" t="s">
        <v>672</v>
      </c>
      <c r="L7" s="647"/>
      <c r="M7" s="595" t="s">
        <v>670</v>
      </c>
      <c r="N7" s="595" t="s">
        <v>671</v>
      </c>
      <c r="O7" s="595" t="s">
        <v>673</v>
      </c>
      <c r="P7" s="595" t="s">
        <v>674</v>
      </c>
      <c r="Q7" s="595" t="s">
        <v>675</v>
      </c>
      <c r="R7" s="595" t="s">
        <v>676</v>
      </c>
      <c r="S7" s="595" t="s">
        <v>677</v>
      </c>
      <c r="T7" s="597"/>
      <c r="U7" s="595" t="s">
        <v>670</v>
      </c>
      <c r="V7" s="595" t="s">
        <v>671</v>
      </c>
      <c r="W7" s="595" t="s">
        <v>673</v>
      </c>
      <c r="X7" s="595" t="s">
        <v>674</v>
      </c>
      <c r="Y7" s="595" t="s">
        <v>675</v>
      </c>
      <c r="Z7" s="595" t="s">
        <v>676</v>
      </c>
      <c r="AA7" s="595" t="s">
        <v>677</v>
      </c>
      <c r="AB7" s="641"/>
    </row>
    <row r="8" spans="1:28" x14ac:dyDescent="0.25">
      <c r="A8" s="650">
        <v>1</v>
      </c>
      <c r="B8" s="609" t="s">
        <v>633</v>
      </c>
      <c r="C8" s="619">
        <f>D8+H8+L8</f>
        <v>31814382.902002156</v>
      </c>
      <c r="D8" s="599">
        <f>D13+D14</f>
        <v>30221598.262002155</v>
      </c>
      <c r="E8" s="599">
        <f t="shared" ref="E8:AA8" si="0">E13+E14</f>
        <v>284332.14000000013</v>
      </c>
      <c r="F8" s="599">
        <f t="shared" si="0"/>
        <v>30489.8</v>
      </c>
      <c r="G8" s="599">
        <f t="shared" si="0"/>
        <v>0</v>
      </c>
      <c r="H8" s="599">
        <f t="shared" si="0"/>
        <v>303033.78000000003</v>
      </c>
      <c r="I8" s="599">
        <f t="shared" si="0"/>
        <v>65609.899999999994</v>
      </c>
      <c r="J8" s="599">
        <f t="shared" si="0"/>
        <v>165034.45000000001</v>
      </c>
      <c r="K8" s="599">
        <f t="shared" si="0"/>
        <v>0</v>
      </c>
      <c r="L8" s="599">
        <f t="shared" si="0"/>
        <v>1289750.8599999999</v>
      </c>
      <c r="M8" s="599">
        <f t="shared" si="0"/>
        <v>0</v>
      </c>
      <c r="N8" s="599">
        <f t="shared" si="0"/>
        <v>27724.969999999998</v>
      </c>
      <c r="O8" s="599">
        <f t="shared" si="0"/>
        <v>63120.859999999993</v>
      </c>
      <c r="P8" s="599">
        <f t="shared" si="0"/>
        <v>26458.43</v>
      </c>
      <c r="Q8" s="599">
        <f t="shared" si="0"/>
        <v>3222.3100000000004</v>
      </c>
      <c r="R8" s="599">
        <f t="shared" si="0"/>
        <v>1058532.6599999999</v>
      </c>
      <c r="S8" s="599">
        <f t="shared" si="0"/>
        <v>0</v>
      </c>
      <c r="T8" s="599">
        <f t="shared" si="0"/>
        <v>0</v>
      </c>
      <c r="U8" s="599">
        <f t="shared" si="0"/>
        <v>0</v>
      </c>
      <c r="V8" s="599">
        <f t="shared" si="0"/>
        <v>0</v>
      </c>
      <c r="W8" s="599">
        <f t="shared" si="0"/>
        <v>0</v>
      </c>
      <c r="X8" s="599">
        <f t="shared" si="0"/>
        <v>0</v>
      </c>
      <c r="Y8" s="599">
        <f t="shared" si="0"/>
        <v>0</v>
      </c>
      <c r="Z8" s="599">
        <f t="shared" si="0"/>
        <v>0</v>
      </c>
      <c r="AA8" s="599">
        <f t="shared" si="0"/>
        <v>0</v>
      </c>
    </row>
    <row r="9" spans="1:28" x14ac:dyDescent="0.25">
      <c r="A9" s="601">
        <v>1.1000000000000001</v>
      </c>
      <c r="B9" s="628" t="s">
        <v>678</v>
      </c>
      <c r="C9" s="619">
        <f t="shared" ref="C9:C14" si="1">D9+H9+L9</f>
        <v>0</v>
      </c>
      <c r="D9" s="599"/>
      <c r="E9" s="599"/>
      <c r="F9" s="599"/>
      <c r="G9" s="599"/>
      <c r="H9" s="599"/>
      <c r="I9" s="599"/>
      <c r="J9" s="599"/>
      <c r="K9" s="599"/>
      <c r="L9" s="599"/>
      <c r="M9" s="599"/>
      <c r="N9" s="599"/>
      <c r="O9" s="599"/>
      <c r="P9" s="599"/>
      <c r="Q9" s="599"/>
      <c r="R9" s="599"/>
      <c r="S9" s="599"/>
      <c r="T9" s="599"/>
      <c r="U9" s="599"/>
      <c r="V9" s="599"/>
      <c r="W9" s="599"/>
      <c r="X9" s="599"/>
      <c r="Y9" s="599"/>
      <c r="Z9" s="599"/>
      <c r="AA9" s="599"/>
    </row>
    <row r="10" spans="1:28" x14ac:dyDescent="0.25">
      <c r="A10" s="601">
        <v>1.2</v>
      </c>
      <c r="B10" s="628" t="s">
        <v>679</v>
      </c>
      <c r="C10" s="619">
        <f t="shared" si="1"/>
        <v>0</v>
      </c>
      <c r="D10" s="599"/>
      <c r="E10" s="599"/>
      <c r="F10" s="599"/>
      <c r="G10" s="599"/>
      <c r="H10" s="599"/>
      <c r="I10" s="599"/>
      <c r="J10" s="599"/>
      <c r="K10" s="599"/>
      <c r="L10" s="599"/>
      <c r="M10" s="599"/>
      <c r="N10" s="599"/>
      <c r="O10" s="599"/>
      <c r="P10" s="599"/>
      <c r="Q10" s="599"/>
      <c r="R10" s="599"/>
      <c r="S10" s="599"/>
      <c r="T10" s="599"/>
      <c r="U10" s="599"/>
      <c r="V10" s="599"/>
      <c r="W10" s="599"/>
      <c r="X10" s="599"/>
      <c r="Y10" s="599"/>
      <c r="Z10" s="599"/>
      <c r="AA10" s="599"/>
    </row>
    <row r="11" spans="1:28" x14ac:dyDescent="0.25">
      <c r="A11" s="601">
        <v>1.3</v>
      </c>
      <c r="B11" s="628" t="s">
        <v>680</v>
      </c>
      <c r="C11" s="619">
        <f t="shared" si="1"/>
        <v>0</v>
      </c>
      <c r="D11" s="599"/>
      <c r="E11" s="599"/>
      <c r="F11" s="599"/>
      <c r="G11" s="599"/>
      <c r="H11" s="599"/>
      <c r="I11" s="599"/>
      <c r="J11" s="599"/>
      <c r="K11" s="599"/>
      <c r="L11" s="599"/>
      <c r="M11" s="599"/>
      <c r="N11" s="599"/>
      <c r="O11" s="599"/>
      <c r="P11" s="599"/>
      <c r="Q11" s="599"/>
      <c r="R11" s="599"/>
      <c r="S11" s="599"/>
      <c r="T11" s="599"/>
      <c r="U11" s="599"/>
      <c r="V11" s="599"/>
      <c r="W11" s="599"/>
      <c r="X11" s="599"/>
      <c r="Y11" s="599"/>
      <c r="Z11" s="599"/>
      <c r="AA11" s="599"/>
    </row>
    <row r="12" spans="1:28" x14ac:dyDescent="0.25">
      <c r="A12" s="601">
        <v>1.4</v>
      </c>
      <c r="B12" s="628" t="s">
        <v>681</v>
      </c>
      <c r="C12" s="619">
        <f t="shared" si="1"/>
        <v>0</v>
      </c>
      <c r="D12" s="599"/>
      <c r="E12" s="599"/>
      <c r="F12" s="599"/>
      <c r="G12" s="599"/>
      <c r="H12" s="599"/>
      <c r="I12" s="599"/>
      <c r="J12" s="599"/>
      <c r="K12" s="599"/>
      <c r="L12" s="599"/>
      <c r="M12" s="599"/>
      <c r="N12" s="599"/>
      <c r="O12" s="599"/>
      <c r="P12" s="599"/>
      <c r="Q12" s="599"/>
      <c r="R12" s="599"/>
      <c r="S12" s="599"/>
      <c r="T12" s="599"/>
      <c r="U12" s="599"/>
      <c r="V12" s="599"/>
      <c r="W12" s="599"/>
      <c r="X12" s="599"/>
      <c r="Y12" s="599"/>
      <c r="Z12" s="599"/>
      <c r="AA12" s="599"/>
    </row>
    <row r="13" spans="1:28" x14ac:dyDescent="0.25">
      <c r="A13" s="601">
        <v>1.5</v>
      </c>
      <c r="B13" s="628" t="s">
        <v>682</v>
      </c>
      <c r="C13" s="619">
        <f t="shared" si="1"/>
        <v>20458804.550000004</v>
      </c>
      <c r="D13" s="599">
        <v>19334604.430000003</v>
      </c>
      <c r="E13" s="599">
        <v>10188.519999999999</v>
      </c>
      <c r="F13" s="599">
        <v>0</v>
      </c>
      <c r="G13" s="599">
        <v>0</v>
      </c>
      <c r="H13" s="599">
        <v>65667.459999999992</v>
      </c>
      <c r="I13" s="599">
        <v>0</v>
      </c>
      <c r="J13" s="599">
        <v>65667.459999999992</v>
      </c>
      <c r="K13" s="599">
        <v>0</v>
      </c>
      <c r="L13" s="599">
        <v>1058532.6599999999</v>
      </c>
      <c r="M13" s="599">
        <v>0</v>
      </c>
      <c r="N13" s="599">
        <v>0</v>
      </c>
      <c r="O13" s="599">
        <v>0</v>
      </c>
      <c r="P13" s="599">
        <v>0</v>
      </c>
      <c r="Q13" s="599">
        <v>0</v>
      </c>
      <c r="R13" s="599">
        <v>1058532.6599999999</v>
      </c>
      <c r="S13" s="599">
        <v>0</v>
      </c>
      <c r="T13" s="599"/>
      <c r="U13" s="599"/>
      <c r="V13" s="599"/>
      <c r="W13" s="599"/>
      <c r="X13" s="599"/>
      <c r="Y13" s="599"/>
      <c r="Z13" s="599"/>
      <c r="AA13" s="599"/>
    </row>
    <row r="14" spans="1:28" x14ac:dyDescent="0.25">
      <c r="A14" s="601">
        <v>1.6</v>
      </c>
      <c r="B14" s="628" t="s">
        <v>683</v>
      </c>
      <c r="C14" s="619">
        <f t="shared" si="1"/>
        <v>11355578.352002151</v>
      </c>
      <c r="D14" s="599">
        <v>10886993.832002152</v>
      </c>
      <c r="E14" s="599">
        <v>274143.62000000011</v>
      </c>
      <c r="F14" s="599">
        <v>30489.8</v>
      </c>
      <c r="G14" s="599">
        <v>0</v>
      </c>
      <c r="H14" s="599">
        <v>237366.32</v>
      </c>
      <c r="I14" s="599">
        <v>65609.899999999994</v>
      </c>
      <c r="J14" s="599">
        <v>99366.99</v>
      </c>
      <c r="K14" s="599">
        <v>0</v>
      </c>
      <c r="L14" s="599">
        <v>231218.19999999995</v>
      </c>
      <c r="M14" s="599">
        <v>0</v>
      </c>
      <c r="N14" s="599">
        <v>27724.969999999998</v>
      </c>
      <c r="O14" s="599">
        <v>63120.859999999993</v>
      </c>
      <c r="P14" s="599">
        <v>26458.43</v>
      </c>
      <c r="Q14" s="599">
        <v>3222.3100000000004</v>
      </c>
      <c r="R14" s="599">
        <v>0</v>
      </c>
      <c r="S14" s="599">
        <v>0</v>
      </c>
      <c r="T14" s="599"/>
      <c r="U14" s="599"/>
      <c r="V14" s="599"/>
      <c r="W14" s="599"/>
      <c r="X14" s="599"/>
      <c r="Y14" s="599"/>
      <c r="Z14" s="599"/>
      <c r="AA14" s="599"/>
    </row>
    <row r="15" spans="1:28" x14ac:dyDescent="0.25">
      <c r="A15" s="650">
        <v>2</v>
      </c>
      <c r="B15" s="609" t="s">
        <v>115</v>
      </c>
      <c r="C15" s="609"/>
      <c r="D15" s="601"/>
      <c r="E15" s="601"/>
      <c r="F15" s="601"/>
      <c r="G15" s="601"/>
      <c r="H15" s="601"/>
      <c r="I15" s="601"/>
      <c r="J15" s="601"/>
      <c r="K15" s="601"/>
      <c r="L15" s="601"/>
      <c r="M15" s="601"/>
      <c r="N15" s="601"/>
      <c r="O15" s="601"/>
      <c r="P15" s="601"/>
      <c r="Q15" s="601"/>
      <c r="R15" s="601"/>
      <c r="S15" s="601"/>
      <c r="T15" s="601"/>
      <c r="U15" s="601"/>
      <c r="V15" s="601"/>
      <c r="W15" s="601"/>
      <c r="X15" s="601"/>
      <c r="Y15" s="601"/>
      <c r="Z15" s="601"/>
      <c r="AA15" s="601"/>
    </row>
    <row r="16" spans="1:28" x14ac:dyDescent="0.25">
      <c r="A16" s="601">
        <v>2.1</v>
      </c>
      <c r="B16" s="628" t="s">
        <v>678</v>
      </c>
      <c r="C16" s="628"/>
      <c r="D16" s="601"/>
      <c r="E16" s="601"/>
      <c r="F16" s="601"/>
      <c r="G16" s="601"/>
      <c r="H16" s="601"/>
      <c r="I16" s="601"/>
      <c r="J16" s="601"/>
      <c r="K16" s="601"/>
      <c r="L16" s="601"/>
      <c r="M16" s="601"/>
      <c r="N16" s="601"/>
      <c r="O16" s="601"/>
      <c r="P16" s="601"/>
      <c r="Q16" s="601"/>
      <c r="R16" s="601"/>
      <c r="S16" s="601"/>
      <c r="T16" s="601"/>
      <c r="U16" s="601"/>
      <c r="V16" s="601"/>
      <c r="W16" s="601"/>
      <c r="X16" s="601"/>
      <c r="Y16" s="601"/>
      <c r="Z16" s="601"/>
      <c r="AA16" s="601"/>
    </row>
    <row r="17" spans="1:27" x14ac:dyDescent="0.25">
      <c r="A17" s="601">
        <v>2.2000000000000002</v>
      </c>
      <c r="B17" s="628" t="s">
        <v>679</v>
      </c>
      <c r="C17" s="784">
        <f>D17+H17+L17</f>
        <v>24908677.41</v>
      </c>
      <c r="D17" s="600">
        <v>24908677.41</v>
      </c>
      <c r="E17" s="601"/>
      <c r="F17" s="601"/>
      <c r="G17" s="601"/>
      <c r="H17" s="601"/>
      <c r="I17" s="601"/>
      <c r="J17" s="601"/>
      <c r="K17" s="601"/>
      <c r="L17" s="601"/>
      <c r="M17" s="601"/>
      <c r="N17" s="601"/>
      <c r="O17" s="601"/>
      <c r="P17" s="601"/>
      <c r="Q17" s="601"/>
      <c r="R17" s="601"/>
      <c r="S17" s="601"/>
      <c r="T17" s="601"/>
      <c r="U17" s="601"/>
      <c r="V17" s="601"/>
      <c r="W17" s="601"/>
      <c r="X17" s="601"/>
      <c r="Y17" s="601"/>
      <c r="Z17" s="601"/>
      <c r="AA17" s="601"/>
    </row>
    <row r="18" spans="1:27" x14ac:dyDescent="0.25">
      <c r="A18" s="601">
        <v>2.2999999999999998</v>
      </c>
      <c r="B18" s="628" t="s">
        <v>680</v>
      </c>
      <c r="C18" s="628"/>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row>
    <row r="19" spans="1:27" x14ac:dyDescent="0.25">
      <c r="A19" s="601">
        <v>2.4</v>
      </c>
      <c r="B19" s="628" t="s">
        <v>681</v>
      </c>
      <c r="C19" s="628"/>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row>
    <row r="20" spans="1:27" x14ac:dyDescent="0.25">
      <c r="A20" s="601">
        <v>2.5</v>
      </c>
      <c r="B20" s="628" t="s">
        <v>682</v>
      </c>
      <c r="C20" s="628"/>
      <c r="D20" s="601"/>
      <c r="E20" s="601"/>
      <c r="F20" s="601"/>
      <c r="G20" s="601"/>
      <c r="H20" s="601"/>
      <c r="I20" s="601"/>
      <c r="J20" s="601"/>
      <c r="K20" s="601"/>
      <c r="L20" s="601"/>
      <c r="M20" s="601"/>
      <c r="N20" s="601"/>
      <c r="O20" s="601"/>
      <c r="P20" s="601"/>
      <c r="Q20" s="601"/>
      <c r="R20" s="601"/>
      <c r="S20" s="601"/>
      <c r="T20" s="601"/>
      <c r="U20" s="601"/>
      <c r="V20" s="601"/>
      <c r="W20" s="601"/>
      <c r="X20" s="601"/>
      <c r="Y20" s="601"/>
      <c r="Z20" s="601"/>
      <c r="AA20" s="601"/>
    </row>
    <row r="21" spans="1:27" x14ac:dyDescent="0.25">
      <c r="A21" s="601">
        <v>2.6</v>
      </c>
      <c r="B21" s="628" t="s">
        <v>683</v>
      </c>
      <c r="C21" s="628"/>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row>
    <row r="22" spans="1:27" x14ac:dyDescent="0.25">
      <c r="A22" s="650">
        <v>3</v>
      </c>
      <c r="B22" s="651" t="s">
        <v>684</v>
      </c>
      <c r="C22" s="609"/>
      <c r="D22" s="609"/>
      <c r="E22" s="652"/>
      <c r="F22" s="652"/>
      <c r="G22" s="652"/>
      <c r="H22" s="609"/>
      <c r="I22" s="652"/>
      <c r="J22" s="652"/>
      <c r="K22" s="652"/>
      <c r="L22" s="609"/>
      <c r="M22" s="652"/>
      <c r="N22" s="652"/>
      <c r="O22" s="652"/>
      <c r="P22" s="652"/>
      <c r="Q22" s="652"/>
      <c r="R22" s="652"/>
      <c r="S22" s="652"/>
      <c r="T22" s="609"/>
      <c r="U22" s="652"/>
      <c r="V22" s="652"/>
      <c r="W22" s="652"/>
      <c r="X22" s="652"/>
      <c r="Y22" s="652"/>
      <c r="Z22" s="652"/>
      <c r="AA22" s="652"/>
    </row>
    <row r="23" spans="1:27" x14ac:dyDescent="0.25">
      <c r="A23" s="601">
        <v>3.1</v>
      </c>
      <c r="B23" s="628" t="s">
        <v>678</v>
      </c>
      <c r="C23" s="628"/>
      <c r="D23" s="609"/>
      <c r="E23" s="652"/>
      <c r="F23" s="652"/>
      <c r="G23" s="652"/>
      <c r="H23" s="609"/>
      <c r="I23" s="652"/>
      <c r="J23" s="652"/>
      <c r="K23" s="652"/>
      <c r="L23" s="609"/>
      <c r="M23" s="652"/>
      <c r="N23" s="652"/>
      <c r="O23" s="652"/>
      <c r="P23" s="652"/>
      <c r="Q23" s="652"/>
      <c r="R23" s="652"/>
      <c r="S23" s="652"/>
      <c r="T23" s="609"/>
      <c r="U23" s="652"/>
      <c r="V23" s="652"/>
      <c r="W23" s="652"/>
      <c r="X23" s="652"/>
      <c r="Y23" s="652"/>
      <c r="Z23" s="652"/>
      <c r="AA23" s="652"/>
    </row>
    <row r="24" spans="1:27" x14ac:dyDescent="0.25">
      <c r="A24" s="601">
        <v>3.2</v>
      </c>
      <c r="B24" s="628" t="s">
        <v>679</v>
      </c>
      <c r="C24" s="628"/>
      <c r="D24" s="609"/>
      <c r="E24" s="652"/>
      <c r="F24" s="652"/>
      <c r="G24" s="652"/>
      <c r="H24" s="609"/>
      <c r="I24" s="652"/>
      <c r="J24" s="652"/>
      <c r="K24" s="652"/>
      <c r="L24" s="609"/>
      <c r="M24" s="652"/>
      <c r="N24" s="652"/>
      <c r="O24" s="652"/>
      <c r="P24" s="652"/>
      <c r="Q24" s="652"/>
      <c r="R24" s="652"/>
      <c r="S24" s="652"/>
      <c r="T24" s="609"/>
      <c r="U24" s="652"/>
      <c r="V24" s="652"/>
      <c r="W24" s="652"/>
      <c r="X24" s="652"/>
      <c r="Y24" s="652"/>
      <c r="Z24" s="652"/>
      <c r="AA24" s="652"/>
    </row>
    <row r="25" spans="1:27" x14ac:dyDescent="0.25">
      <c r="A25" s="601">
        <v>3.3</v>
      </c>
      <c r="B25" s="628" t="s">
        <v>680</v>
      </c>
      <c r="C25" s="628"/>
      <c r="D25" s="609"/>
      <c r="E25" s="652"/>
      <c r="F25" s="652"/>
      <c r="G25" s="652"/>
      <c r="H25" s="609"/>
      <c r="I25" s="652"/>
      <c r="J25" s="652"/>
      <c r="K25" s="652"/>
      <c r="L25" s="609"/>
      <c r="M25" s="652"/>
      <c r="N25" s="652"/>
      <c r="O25" s="652"/>
      <c r="P25" s="652"/>
      <c r="Q25" s="652"/>
      <c r="R25" s="652"/>
      <c r="S25" s="652"/>
      <c r="T25" s="609"/>
      <c r="U25" s="652"/>
      <c r="V25" s="652"/>
      <c r="W25" s="652"/>
      <c r="X25" s="652"/>
      <c r="Y25" s="652"/>
      <c r="Z25" s="652"/>
      <c r="AA25" s="652"/>
    </row>
    <row r="26" spans="1:27" x14ac:dyDescent="0.25">
      <c r="A26" s="601">
        <v>3.4</v>
      </c>
      <c r="B26" s="628" t="s">
        <v>681</v>
      </c>
      <c r="C26" s="628"/>
      <c r="D26" s="609"/>
      <c r="E26" s="652"/>
      <c r="F26" s="652"/>
      <c r="G26" s="652"/>
      <c r="H26" s="609"/>
      <c r="I26" s="652"/>
      <c r="J26" s="652"/>
      <c r="K26" s="652"/>
      <c r="L26" s="609"/>
      <c r="M26" s="652"/>
      <c r="N26" s="652"/>
      <c r="O26" s="652"/>
      <c r="P26" s="652"/>
      <c r="Q26" s="652"/>
      <c r="R26" s="652"/>
      <c r="S26" s="652"/>
      <c r="T26" s="609"/>
      <c r="U26" s="652"/>
      <c r="V26" s="652"/>
      <c r="W26" s="652"/>
      <c r="X26" s="652"/>
      <c r="Y26" s="652"/>
      <c r="Z26" s="652"/>
      <c r="AA26" s="652"/>
    </row>
    <row r="27" spans="1:27" x14ac:dyDescent="0.25">
      <c r="A27" s="601">
        <v>3.5</v>
      </c>
      <c r="B27" s="628" t="s">
        <v>682</v>
      </c>
      <c r="C27" s="785">
        <f>D27+H27+L27</f>
        <v>3826079.16</v>
      </c>
      <c r="D27" s="786">
        <f>'4. Off-balance'!E28</f>
        <v>3826079.16</v>
      </c>
      <c r="E27" s="652"/>
      <c r="F27" s="652"/>
      <c r="G27" s="652"/>
      <c r="H27" s="609"/>
      <c r="I27" s="652"/>
      <c r="J27" s="652"/>
      <c r="K27" s="652"/>
      <c r="L27" s="609"/>
      <c r="M27" s="652"/>
      <c r="N27" s="652"/>
      <c r="O27" s="652"/>
      <c r="P27" s="652"/>
      <c r="Q27" s="652"/>
      <c r="R27" s="652"/>
      <c r="S27" s="652"/>
      <c r="T27" s="609"/>
      <c r="U27" s="652"/>
      <c r="V27" s="652"/>
      <c r="W27" s="652"/>
      <c r="X27" s="652"/>
      <c r="Y27" s="652"/>
      <c r="Z27" s="652"/>
      <c r="AA27" s="652"/>
    </row>
    <row r="28" spans="1:27" x14ac:dyDescent="0.25">
      <c r="A28" s="601">
        <v>3.6</v>
      </c>
      <c r="B28" s="628" t="s">
        <v>683</v>
      </c>
      <c r="C28" s="785">
        <f>'4. Off-balance'!E27</f>
        <v>3024976.73</v>
      </c>
      <c r="D28" s="628"/>
      <c r="E28" s="652"/>
      <c r="F28" s="652"/>
      <c r="G28" s="652"/>
      <c r="H28" s="609"/>
      <c r="I28" s="652"/>
      <c r="J28" s="652"/>
      <c r="K28" s="652"/>
      <c r="L28" s="609"/>
      <c r="M28" s="652"/>
      <c r="N28" s="652"/>
      <c r="O28" s="652"/>
      <c r="P28" s="652"/>
      <c r="Q28" s="652"/>
      <c r="R28" s="652"/>
      <c r="S28" s="652"/>
      <c r="T28" s="609"/>
      <c r="U28" s="652"/>
      <c r="V28" s="652"/>
      <c r="W28" s="652"/>
      <c r="X28" s="652"/>
      <c r="Y28" s="652"/>
      <c r="Z28" s="652"/>
      <c r="AA28" s="652"/>
    </row>
    <row r="31" spans="1:27" x14ac:dyDescent="0.25">
      <c r="F31" s="622"/>
    </row>
    <row r="33" spans="2:2" x14ac:dyDescent="0.25">
      <c r="B33" s="592" t="s">
        <v>685</v>
      </c>
    </row>
    <row r="34" spans="2:2" x14ac:dyDescent="0.25">
      <c r="B34" s="592" t="s">
        <v>686</v>
      </c>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89C1-BCDB-40AC-AC53-66411C74E83F}">
  <dimension ref="A1:AB22"/>
  <sheetViews>
    <sheetView showGridLines="0" zoomScaleNormal="100" workbookViewId="0">
      <selection activeCell="C8" sqref="C8:AA22"/>
    </sheetView>
  </sheetViews>
  <sheetFormatPr defaultColWidth="9.109375" defaultRowHeight="12" x14ac:dyDescent="0.25"/>
  <cols>
    <col min="1" max="1" width="11.88671875" style="592" bestFit="1" customWidth="1"/>
    <col min="2" max="2" width="90.33203125" style="592" bestFit="1" customWidth="1"/>
    <col min="3" max="3" width="20.109375" style="592" customWidth="1"/>
    <col min="4" max="4" width="17" style="592" customWidth="1"/>
    <col min="5" max="5" width="15" style="592" customWidth="1"/>
    <col min="6" max="6" width="17.109375" style="592" customWidth="1"/>
    <col min="7" max="7" width="15.109375" style="592" customWidth="1"/>
    <col min="8" max="8" width="11.6640625" style="592" customWidth="1"/>
    <col min="9" max="9" width="15" style="592" customWidth="1"/>
    <col min="10" max="10" width="14.88671875" style="592" customWidth="1"/>
    <col min="11" max="11" width="14.5546875" style="592" customWidth="1"/>
    <col min="12" max="12" width="16.5546875" style="592" customWidth="1"/>
    <col min="13" max="13" width="16.6640625" style="592" customWidth="1"/>
    <col min="14" max="14" width="19.33203125" style="592" customWidth="1"/>
    <col min="15" max="15" width="20.6640625" style="592" customWidth="1"/>
    <col min="16" max="16" width="20.109375" style="592" customWidth="1"/>
    <col min="17" max="17" width="18.88671875" style="592" customWidth="1"/>
    <col min="18" max="18" width="22.33203125" style="592" customWidth="1"/>
    <col min="19" max="19" width="18.88671875" style="592" customWidth="1"/>
    <col min="20" max="20" width="14.109375" style="592" customWidth="1"/>
    <col min="21" max="22" width="19.109375" style="592" customWidth="1"/>
    <col min="23" max="27" width="17.88671875" style="592" customWidth="1"/>
    <col min="28" max="28" width="12.109375" style="592" bestFit="1" customWidth="1"/>
    <col min="29" max="16384" width="9.109375" style="592"/>
  </cols>
  <sheetData>
    <row r="1" spans="1:28" ht="13.8" x14ac:dyDescent="0.3">
      <c r="A1" s="570" t="s">
        <v>41</v>
      </c>
      <c r="B1" s="22" t="str">
        <f>Info!C2</f>
        <v>სს სილქ ბანკი</v>
      </c>
    </row>
    <row r="2" spans="1:28" x14ac:dyDescent="0.25">
      <c r="A2" s="570" t="s">
        <v>42</v>
      </c>
      <c r="B2" s="572">
        <f>'1. key ratios'!B2</f>
        <v>45199</v>
      </c>
    </row>
    <row r="3" spans="1:28" x14ac:dyDescent="0.25">
      <c r="A3" s="573" t="s">
        <v>687</v>
      </c>
      <c r="C3" s="653"/>
    </row>
    <row r="4" spans="1:28" ht="40.5" customHeight="1" thickBot="1" x14ac:dyDescent="0.3">
      <c r="A4" s="573"/>
      <c r="B4" s="653"/>
      <c r="C4" s="653"/>
    </row>
    <row r="5" spans="1:28" ht="13.5" customHeight="1" x14ac:dyDescent="0.25">
      <c r="A5" s="913" t="s">
        <v>688</v>
      </c>
      <c r="B5" s="914"/>
      <c r="C5" s="919" t="s">
        <v>689</v>
      </c>
      <c r="D5" s="920"/>
      <c r="E5" s="920"/>
      <c r="F5" s="920"/>
      <c r="G5" s="920"/>
      <c r="H5" s="920"/>
      <c r="I5" s="920"/>
      <c r="J5" s="920"/>
      <c r="K5" s="920"/>
      <c r="L5" s="920"/>
      <c r="M5" s="920"/>
      <c r="N5" s="920"/>
      <c r="O5" s="920"/>
      <c r="P5" s="920"/>
      <c r="Q5" s="920"/>
      <c r="R5" s="920"/>
      <c r="S5" s="920"/>
      <c r="T5" s="920"/>
      <c r="U5" s="920"/>
      <c r="V5" s="920"/>
      <c r="W5" s="920"/>
      <c r="X5" s="920"/>
      <c r="Y5" s="920"/>
      <c r="Z5" s="920"/>
      <c r="AA5" s="921"/>
    </row>
    <row r="6" spans="1:28" ht="12" customHeight="1" x14ac:dyDescent="0.25">
      <c r="A6" s="915"/>
      <c r="B6" s="916"/>
      <c r="C6" s="922" t="s">
        <v>103</v>
      </c>
      <c r="D6" s="889" t="s">
        <v>666</v>
      </c>
      <c r="E6" s="889"/>
      <c r="F6" s="889"/>
      <c r="G6" s="889"/>
      <c r="H6" s="909" t="s">
        <v>667</v>
      </c>
      <c r="I6" s="910"/>
      <c r="J6" s="910"/>
      <c r="K6" s="910"/>
      <c r="L6" s="645"/>
      <c r="M6" s="892" t="s">
        <v>668</v>
      </c>
      <c r="N6" s="892"/>
      <c r="O6" s="892"/>
      <c r="P6" s="892"/>
      <c r="Q6" s="892"/>
      <c r="R6" s="892"/>
      <c r="S6" s="888"/>
      <c r="T6" s="645"/>
      <c r="U6" s="892" t="s">
        <v>669</v>
      </c>
      <c r="V6" s="892"/>
      <c r="W6" s="892"/>
      <c r="X6" s="892"/>
      <c r="Y6" s="892"/>
      <c r="Z6" s="892"/>
      <c r="AA6" s="924"/>
    </row>
    <row r="7" spans="1:28" ht="36" x14ac:dyDescent="0.25">
      <c r="A7" s="917"/>
      <c r="B7" s="918"/>
      <c r="C7" s="923"/>
      <c r="D7" s="648"/>
      <c r="E7" s="595" t="s">
        <v>670</v>
      </c>
      <c r="F7" s="595" t="s">
        <v>671</v>
      </c>
      <c r="G7" s="595" t="s">
        <v>672</v>
      </c>
      <c r="H7" s="593"/>
      <c r="I7" s="595" t="s">
        <v>670</v>
      </c>
      <c r="J7" s="595" t="s">
        <v>671</v>
      </c>
      <c r="K7" s="595" t="s">
        <v>672</v>
      </c>
      <c r="L7" s="597"/>
      <c r="M7" s="595" t="s">
        <v>670</v>
      </c>
      <c r="N7" s="595" t="s">
        <v>690</v>
      </c>
      <c r="O7" s="595" t="s">
        <v>691</v>
      </c>
      <c r="P7" s="595" t="s">
        <v>692</v>
      </c>
      <c r="Q7" s="595" t="s">
        <v>693</v>
      </c>
      <c r="R7" s="595" t="s">
        <v>694</v>
      </c>
      <c r="S7" s="595" t="s">
        <v>677</v>
      </c>
      <c r="T7" s="597"/>
      <c r="U7" s="595" t="s">
        <v>670</v>
      </c>
      <c r="V7" s="595" t="s">
        <v>690</v>
      </c>
      <c r="W7" s="595" t="s">
        <v>691</v>
      </c>
      <c r="X7" s="595" t="s">
        <v>692</v>
      </c>
      <c r="Y7" s="595" t="s">
        <v>693</v>
      </c>
      <c r="Z7" s="595" t="s">
        <v>694</v>
      </c>
      <c r="AA7" s="595" t="s">
        <v>677</v>
      </c>
    </row>
    <row r="8" spans="1:28" x14ac:dyDescent="0.25">
      <c r="A8" s="787">
        <v>1</v>
      </c>
      <c r="B8" s="788" t="s">
        <v>633</v>
      </c>
      <c r="C8" s="789">
        <f>'22. Quality'!C8</f>
        <v>31814382.902002156</v>
      </c>
      <c r="D8" s="789">
        <f>'22. Quality'!D8</f>
        <v>30221598.262002155</v>
      </c>
      <c r="E8" s="789">
        <f>'22. Quality'!E8</f>
        <v>284332.14000000013</v>
      </c>
      <c r="F8" s="789">
        <f>'22. Quality'!F8</f>
        <v>30489.8</v>
      </c>
      <c r="G8" s="789">
        <f>'22. Quality'!G8</f>
        <v>0</v>
      </c>
      <c r="H8" s="789">
        <f>'22. Quality'!H8</f>
        <v>303033.78000000003</v>
      </c>
      <c r="I8" s="789">
        <f>'22. Quality'!I8</f>
        <v>65609.899999999994</v>
      </c>
      <c r="J8" s="789">
        <f>'22. Quality'!J8</f>
        <v>165034.45000000001</v>
      </c>
      <c r="K8" s="789">
        <f>'22. Quality'!K8</f>
        <v>0</v>
      </c>
      <c r="L8" s="789">
        <f>'22. Quality'!L8</f>
        <v>1289750.8599999999</v>
      </c>
      <c r="M8" s="789">
        <f>'22. Quality'!M8</f>
        <v>0</v>
      </c>
      <c r="N8" s="789">
        <f>'22. Quality'!N8</f>
        <v>27724.969999999998</v>
      </c>
      <c r="O8" s="789">
        <f>'22. Quality'!O8</f>
        <v>63120.859999999993</v>
      </c>
      <c r="P8" s="789">
        <f>'22. Quality'!P8</f>
        <v>26458.43</v>
      </c>
      <c r="Q8" s="789">
        <f>'22. Quality'!Q8</f>
        <v>3222.3100000000004</v>
      </c>
      <c r="R8" s="789">
        <f>'22. Quality'!R8</f>
        <v>1058532.6599999999</v>
      </c>
      <c r="S8" s="789">
        <f>'22. Quality'!S8</f>
        <v>0</v>
      </c>
      <c r="T8" s="601"/>
      <c r="U8" s="601"/>
      <c r="V8" s="601"/>
      <c r="W8" s="601"/>
      <c r="X8" s="601"/>
      <c r="Y8" s="601"/>
      <c r="Z8" s="601"/>
      <c r="AA8" s="654"/>
      <c r="AB8" s="623"/>
    </row>
    <row r="9" spans="1:28" x14ac:dyDescent="0.25">
      <c r="A9" s="655">
        <v>1.1000000000000001</v>
      </c>
      <c r="B9" s="790" t="s">
        <v>695</v>
      </c>
      <c r="C9" s="791">
        <v>26591065.512002125</v>
      </c>
      <c r="D9" s="600">
        <v>25388701.042002123</v>
      </c>
      <c r="E9" s="600">
        <v>130353.72000000002</v>
      </c>
      <c r="F9" s="600">
        <v>30489.8</v>
      </c>
      <c r="G9" s="600">
        <v>0</v>
      </c>
      <c r="H9" s="600">
        <v>72543.37</v>
      </c>
      <c r="I9" s="600">
        <v>0</v>
      </c>
      <c r="J9" s="600">
        <v>72204.099999999991</v>
      </c>
      <c r="K9" s="600">
        <v>0</v>
      </c>
      <c r="L9" s="600">
        <v>1129821.0999999999</v>
      </c>
      <c r="M9" s="600">
        <v>0</v>
      </c>
      <c r="N9" s="600">
        <v>0</v>
      </c>
      <c r="O9" s="600">
        <v>0</v>
      </c>
      <c r="P9" s="600">
        <v>0</v>
      </c>
      <c r="Q9" s="600">
        <v>0</v>
      </c>
      <c r="R9" s="600">
        <v>1058532.6599999999</v>
      </c>
      <c r="S9" s="600">
        <v>0</v>
      </c>
      <c r="T9" s="601"/>
      <c r="U9" s="601"/>
      <c r="V9" s="601"/>
      <c r="W9" s="601"/>
      <c r="X9" s="601"/>
      <c r="Y9" s="601"/>
      <c r="Z9" s="601"/>
      <c r="AA9" s="654"/>
      <c r="AB9" s="623"/>
    </row>
    <row r="10" spans="1:28" x14ac:dyDescent="0.25">
      <c r="A10" s="792" t="s">
        <v>248</v>
      </c>
      <c r="B10" s="793" t="s">
        <v>696</v>
      </c>
      <c r="C10" s="794">
        <v>20921440.428544849</v>
      </c>
      <c r="D10" s="600">
        <v>19725951.86854485</v>
      </c>
      <c r="E10" s="600">
        <v>34206.93</v>
      </c>
      <c r="F10" s="600">
        <v>0</v>
      </c>
      <c r="G10" s="600">
        <v>0</v>
      </c>
      <c r="H10" s="600">
        <v>65667.459999999992</v>
      </c>
      <c r="I10" s="600">
        <v>0</v>
      </c>
      <c r="J10" s="600">
        <v>65667.459999999992</v>
      </c>
      <c r="K10" s="600">
        <v>0</v>
      </c>
      <c r="L10" s="600">
        <v>1129821.0999999999</v>
      </c>
      <c r="M10" s="600">
        <v>0</v>
      </c>
      <c r="N10" s="600">
        <v>0</v>
      </c>
      <c r="O10" s="600">
        <v>0</v>
      </c>
      <c r="P10" s="600">
        <v>0</v>
      </c>
      <c r="Q10" s="600">
        <v>0</v>
      </c>
      <c r="R10" s="600">
        <v>1058532.6599999999</v>
      </c>
      <c r="S10" s="600">
        <v>0</v>
      </c>
      <c r="T10" s="601"/>
      <c r="U10" s="601"/>
      <c r="V10" s="601"/>
      <c r="W10" s="601"/>
      <c r="X10" s="601"/>
      <c r="Y10" s="601"/>
      <c r="Z10" s="601"/>
      <c r="AA10" s="654"/>
      <c r="AB10" s="623"/>
    </row>
    <row r="11" spans="1:28" x14ac:dyDescent="0.25">
      <c r="A11" s="795" t="s">
        <v>697</v>
      </c>
      <c r="B11" s="796" t="s">
        <v>698</v>
      </c>
      <c r="C11" s="797">
        <v>15306920.542002155</v>
      </c>
      <c r="D11" s="600">
        <v>14111431.982002154</v>
      </c>
      <c r="E11" s="600">
        <v>34206.93</v>
      </c>
      <c r="F11" s="600">
        <v>0</v>
      </c>
      <c r="G11" s="600">
        <v>0</v>
      </c>
      <c r="H11" s="600">
        <v>65667.459999999992</v>
      </c>
      <c r="I11" s="600">
        <v>0</v>
      </c>
      <c r="J11" s="600">
        <v>65667.459999999992</v>
      </c>
      <c r="K11" s="600">
        <v>0</v>
      </c>
      <c r="L11" s="600">
        <v>1129821.0999999999</v>
      </c>
      <c r="M11" s="600">
        <v>0</v>
      </c>
      <c r="N11" s="600">
        <v>0</v>
      </c>
      <c r="O11" s="600">
        <v>0</v>
      </c>
      <c r="P11" s="600">
        <v>0</v>
      </c>
      <c r="Q11" s="600">
        <v>0</v>
      </c>
      <c r="R11" s="600">
        <v>1058532.6599999999</v>
      </c>
      <c r="S11" s="600">
        <v>0</v>
      </c>
      <c r="T11" s="601"/>
      <c r="U11" s="601"/>
      <c r="V11" s="601"/>
      <c r="W11" s="601"/>
      <c r="X11" s="601"/>
      <c r="Y11" s="601"/>
      <c r="Z11" s="601"/>
      <c r="AA11" s="654"/>
      <c r="AB11" s="623"/>
    </row>
    <row r="12" spans="1:28" x14ac:dyDescent="0.25">
      <c r="A12" s="795" t="s">
        <v>699</v>
      </c>
      <c r="B12" s="796" t="s">
        <v>700</v>
      </c>
      <c r="C12" s="797">
        <v>2136277.21</v>
      </c>
      <c r="D12" s="600">
        <v>2136277.21</v>
      </c>
      <c r="E12" s="600">
        <v>0</v>
      </c>
      <c r="F12" s="600">
        <v>0</v>
      </c>
      <c r="G12" s="600">
        <v>0</v>
      </c>
      <c r="H12" s="600">
        <v>0</v>
      </c>
      <c r="I12" s="600">
        <v>0</v>
      </c>
      <c r="J12" s="600">
        <v>0</v>
      </c>
      <c r="K12" s="600">
        <v>0</v>
      </c>
      <c r="L12" s="600">
        <v>0</v>
      </c>
      <c r="M12" s="600">
        <v>0</v>
      </c>
      <c r="N12" s="600">
        <v>0</v>
      </c>
      <c r="O12" s="600">
        <v>0</v>
      </c>
      <c r="P12" s="600">
        <v>0</v>
      </c>
      <c r="Q12" s="600">
        <v>0</v>
      </c>
      <c r="R12" s="600">
        <v>0</v>
      </c>
      <c r="S12" s="600">
        <v>0</v>
      </c>
      <c r="T12" s="601"/>
      <c r="U12" s="601"/>
      <c r="V12" s="601"/>
      <c r="W12" s="601"/>
      <c r="X12" s="601"/>
      <c r="Y12" s="601"/>
      <c r="Z12" s="601"/>
      <c r="AA12" s="654"/>
      <c r="AB12" s="623"/>
    </row>
    <row r="13" spans="1:28" x14ac:dyDescent="0.25">
      <c r="A13" s="795" t="s">
        <v>701</v>
      </c>
      <c r="B13" s="796" t="s">
        <v>702</v>
      </c>
      <c r="C13" s="797">
        <v>2894492.39</v>
      </c>
      <c r="D13" s="600">
        <v>2894492.39</v>
      </c>
      <c r="E13" s="600">
        <v>0</v>
      </c>
      <c r="F13" s="600">
        <v>0</v>
      </c>
      <c r="G13" s="600">
        <v>0</v>
      </c>
      <c r="H13" s="600">
        <v>0</v>
      </c>
      <c r="I13" s="600">
        <v>0</v>
      </c>
      <c r="J13" s="600">
        <v>0</v>
      </c>
      <c r="K13" s="600">
        <v>0</v>
      </c>
      <c r="L13" s="600">
        <v>0</v>
      </c>
      <c r="M13" s="600">
        <v>0</v>
      </c>
      <c r="N13" s="600">
        <v>0</v>
      </c>
      <c r="O13" s="600">
        <v>0</v>
      </c>
      <c r="P13" s="600">
        <v>0</v>
      </c>
      <c r="Q13" s="600">
        <v>0</v>
      </c>
      <c r="R13" s="600">
        <v>0</v>
      </c>
      <c r="S13" s="600">
        <v>0</v>
      </c>
      <c r="T13" s="601"/>
      <c r="U13" s="601"/>
      <c r="V13" s="601"/>
      <c r="W13" s="601"/>
      <c r="X13" s="601"/>
      <c r="Y13" s="601"/>
      <c r="Z13" s="601"/>
      <c r="AA13" s="654"/>
      <c r="AB13" s="623"/>
    </row>
    <row r="14" spans="1:28" x14ac:dyDescent="0.25">
      <c r="A14" s="795" t="s">
        <v>703</v>
      </c>
      <c r="B14" s="796" t="s">
        <v>704</v>
      </c>
      <c r="C14" s="797">
        <v>583750.286542702</v>
      </c>
      <c r="D14" s="600">
        <v>583750.286542702</v>
      </c>
      <c r="E14" s="600">
        <v>0</v>
      </c>
      <c r="F14" s="600">
        <v>0</v>
      </c>
      <c r="G14" s="600">
        <v>0</v>
      </c>
      <c r="H14" s="600">
        <v>0</v>
      </c>
      <c r="I14" s="600">
        <v>0</v>
      </c>
      <c r="J14" s="600">
        <v>0</v>
      </c>
      <c r="K14" s="600">
        <v>0</v>
      </c>
      <c r="L14" s="600">
        <v>0</v>
      </c>
      <c r="M14" s="600">
        <v>0</v>
      </c>
      <c r="N14" s="600">
        <v>0</v>
      </c>
      <c r="O14" s="600">
        <v>0</v>
      </c>
      <c r="P14" s="600">
        <v>0</v>
      </c>
      <c r="Q14" s="600">
        <v>0</v>
      </c>
      <c r="R14" s="600">
        <v>0</v>
      </c>
      <c r="S14" s="600">
        <v>0</v>
      </c>
      <c r="T14" s="601"/>
      <c r="U14" s="601"/>
      <c r="V14" s="601"/>
      <c r="W14" s="601"/>
      <c r="X14" s="601"/>
      <c r="Y14" s="601"/>
      <c r="Z14" s="601"/>
      <c r="AA14" s="654"/>
      <c r="AB14" s="623"/>
    </row>
    <row r="15" spans="1:28" x14ac:dyDescent="0.25">
      <c r="A15" s="798">
        <v>1.2</v>
      </c>
      <c r="B15" s="656" t="s">
        <v>705</v>
      </c>
      <c r="C15" s="791">
        <v>945733.29280154151</v>
      </c>
      <c r="D15" s="600">
        <v>525646.89322609955</v>
      </c>
      <c r="E15" s="600">
        <v>5593.5077574496045</v>
      </c>
      <c r="F15" s="600">
        <v>1219.5920000000001</v>
      </c>
      <c r="G15" s="600">
        <v>0</v>
      </c>
      <c r="H15" s="600">
        <v>25500.760209753786</v>
      </c>
      <c r="I15" s="600">
        <v>0</v>
      </c>
      <c r="J15" s="600">
        <v>25457.603937805925</v>
      </c>
      <c r="K15" s="600">
        <v>0</v>
      </c>
      <c r="L15" s="600">
        <v>394585.6393656882</v>
      </c>
      <c r="M15" s="600">
        <v>0</v>
      </c>
      <c r="N15" s="600">
        <v>0</v>
      </c>
      <c r="O15" s="600">
        <v>0</v>
      </c>
      <c r="P15" s="600">
        <v>0</v>
      </c>
      <c r="Q15" s="600">
        <v>0</v>
      </c>
      <c r="R15" s="600">
        <v>365065.72990251967</v>
      </c>
      <c r="S15" s="600">
        <v>0</v>
      </c>
      <c r="T15" s="601"/>
      <c r="U15" s="601"/>
      <c r="V15" s="601"/>
      <c r="W15" s="601"/>
      <c r="X15" s="601"/>
      <c r="Y15" s="601"/>
      <c r="Z15" s="601"/>
      <c r="AA15" s="654"/>
      <c r="AB15" s="623"/>
    </row>
    <row r="16" spans="1:28" x14ac:dyDescent="0.25">
      <c r="A16" s="655">
        <v>1.3</v>
      </c>
      <c r="B16" s="656" t="s">
        <v>706</v>
      </c>
      <c r="C16" s="657">
        <f>C17+C19</f>
        <v>273254317.355901</v>
      </c>
      <c r="D16" s="657">
        <f t="shared" ref="D16:S16" si="0">D17+D19</f>
        <v>264373038.13590097</v>
      </c>
      <c r="E16" s="657">
        <f t="shared" si="0"/>
        <v>267830</v>
      </c>
      <c r="F16" s="657">
        <f t="shared" si="0"/>
        <v>45531.1</v>
      </c>
      <c r="G16" s="657">
        <f t="shared" si="0"/>
        <v>0</v>
      </c>
      <c r="H16" s="657">
        <f t="shared" si="0"/>
        <v>5801234.2200000007</v>
      </c>
      <c r="I16" s="657">
        <f t="shared" si="0"/>
        <v>0</v>
      </c>
      <c r="J16" s="657">
        <f t="shared" si="0"/>
        <v>5794234.2199999997</v>
      </c>
      <c r="K16" s="657">
        <f t="shared" si="0"/>
        <v>0</v>
      </c>
      <c r="L16" s="657">
        <f t="shared" si="0"/>
        <v>3080045</v>
      </c>
      <c r="M16" s="657">
        <f t="shared" si="0"/>
        <v>0</v>
      </c>
      <c r="N16" s="657">
        <f t="shared" si="0"/>
        <v>0</v>
      </c>
      <c r="O16" s="657">
        <f t="shared" si="0"/>
        <v>0</v>
      </c>
      <c r="P16" s="657">
        <f t="shared" si="0"/>
        <v>0</v>
      </c>
      <c r="Q16" s="657">
        <f t="shared" si="0"/>
        <v>0</v>
      </c>
      <c r="R16" s="657">
        <f t="shared" si="0"/>
        <v>2964878.1</v>
      </c>
      <c r="S16" s="657">
        <f t="shared" si="0"/>
        <v>0</v>
      </c>
      <c r="T16" s="658"/>
      <c r="U16" s="658"/>
      <c r="V16" s="658"/>
      <c r="W16" s="658"/>
      <c r="X16" s="658"/>
      <c r="Y16" s="658"/>
      <c r="Z16" s="658"/>
      <c r="AA16" s="659"/>
      <c r="AB16" s="623"/>
    </row>
    <row r="17" spans="1:28" ht="24" x14ac:dyDescent="0.25">
      <c r="A17" s="660" t="s">
        <v>707</v>
      </c>
      <c r="B17" s="661" t="s">
        <v>708</v>
      </c>
      <c r="C17" s="662">
        <f>D17+H17+L17</f>
        <v>26591065.512002125</v>
      </c>
      <c r="D17" s="599">
        <v>25388701.042002123</v>
      </c>
      <c r="E17" s="599">
        <v>130353.72000000002</v>
      </c>
      <c r="F17" s="599">
        <v>30489.8</v>
      </c>
      <c r="G17" s="599">
        <v>0</v>
      </c>
      <c r="H17" s="599">
        <v>72543.37</v>
      </c>
      <c r="I17" s="599">
        <v>0</v>
      </c>
      <c r="J17" s="599">
        <v>72204.099999999991</v>
      </c>
      <c r="K17" s="599">
        <v>0</v>
      </c>
      <c r="L17" s="599">
        <v>1129821.0999999999</v>
      </c>
      <c r="M17" s="599">
        <v>0</v>
      </c>
      <c r="N17" s="599">
        <v>0</v>
      </c>
      <c r="O17" s="599">
        <v>0</v>
      </c>
      <c r="P17" s="599">
        <v>0</v>
      </c>
      <c r="Q17" s="599">
        <v>0</v>
      </c>
      <c r="R17" s="599">
        <v>1058532.6599999999</v>
      </c>
      <c r="S17" s="599">
        <v>0</v>
      </c>
      <c r="T17" s="601"/>
      <c r="U17" s="601"/>
      <c r="V17" s="601"/>
      <c r="W17" s="601"/>
      <c r="X17" s="601"/>
      <c r="Y17" s="601"/>
      <c r="Z17" s="601"/>
      <c r="AA17" s="654"/>
      <c r="AB17" s="623"/>
    </row>
    <row r="18" spans="1:28" ht="24" x14ac:dyDescent="0.25">
      <c r="A18" s="663" t="s">
        <v>709</v>
      </c>
      <c r="B18" s="664" t="s">
        <v>710</v>
      </c>
      <c r="C18" s="662">
        <f>D18+H18+L18</f>
        <v>20921440.428544853</v>
      </c>
      <c r="D18" s="599">
        <v>19725951.86854485</v>
      </c>
      <c r="E18" s="599">
        <v>34206.93</v>
      </c>
      <c r="F18" s="599">
        <v>0</v>
      </c>
      <c r="G18" s="599">
        <v>0</v>
      </c>
      <c r="H18" s="599">
        <v>65667.459999999992</v>
      </c>
      <c r="I18" s="599">
        <v>0</v>
      </c>
      <c r="J18" s="599">
        <v>65667.459999999992</v>
      </c>
      <c r="K18" s="599">
        <v>0</v>
      </c>
      <c r="L18" s="599">
        <v>1129821.0999999999</v>
      </c>
      <c r="M18" s="599">
        <v>0</v>
      </c>
      <c r="N18" s="599">
        <v>0</v>
      </c>
      <c r="O18" s="599">
        <v>0</v>
      </c>
      <c r="P18" s="599">
        <v>0</v>
      </c>
      <c r="Q18" s="599">
        <v>0</v>
      </c>
      <c r="R18" s="599">
        <v>1058532.6599999999</v>
      </c>
      <c r="S18" s="599">
        <v>0</v>
      </c>
      <c r="T18" s="601"/>
      <c r="U18" s="601"/>
      <c r="V18" s="601"/>
      <c r="W18" s="601"/>
      <c r="X18" s="601"/>
      <c r="Y18" s="601"/>
      <c r="Z18" s="601"/>
      <c r="AA18" s="654"/>
      <c r="AB18" s="623"/>
    </row>
    <row r="19" spans="1:28" x14ac:dyDescent="0.25">
      <c r="A19" s="660" t="s">
        <v>711</v>
      </c>
      <c r="B19" s="665" t="s">
        <v>712</v>
      </c>
      <c r="C19" s="662">
        <f>D19+H19+L19</f>
        <v>246663251.84389886</v>
      </c>
      <c r="D19" s="599">
        <v>238984337.09389886</v>
      </c>
      <c r="E19" s="599">
        <v>137476.28</v>
      </c>
      <c r="F19" s="599">
        <v>15041.3</v>
      </c>
      <c r="G19" s="599">
        <v>0</v>
      </c>
      <c r="H19" s="599">
        <v>5728690.8500000006</v>
      </c>
      <c r="I19" s="599">
        <v>0</v>
      </c>
      <c r="J19" s="599">
        <v>5722030.1200000001</v>
      </c>
      <c r="K19" s="599">
        <v>0</v>
      </c>
      <c r="L19" s="599">
        <v>1950223.9000000001</v>
      </c>
      <c r="M19" s="599">
        <v>0</v>
      </c>
      <c r="N19" s="599">
        <v>0</v>
      </c>
      <c r="O19" s="599">
        <v>0</v>
      </c>
      <c r="P19" s="599">
        <v>0</v>
      </c>
      <c r="Q19" s="599">
        <v>0</v>
      </c>
      <c r="R19" s="599">
        <v>1906345.4400000002</v>
      </c>
      <c r="S19" s="599">
        <v>0</v>
      </c>
      <c r="T19" s="601"/>
      <c r="U19" s="601"/>
      <c r="V19" s="601"/>
      <c r="W19" s="601"/>
      <c r="X19" s="601"/>
      <c r="Y19" s="601"/>
      <c r="Z19" s="601"/>
      <c r="AA19" s="654"/>
      <c r="AB19" s="623"/>
    </row>
    <row r="20" spans="1:28" x14ac:dyDescent="0.25">
      <c r="A20" s="663" t="s">
        <v>713</v>
      </c>
      <c r="B20" s="664" t="s">
        <v>714</v>
      </c>
      <c r="C20" s="662">
        <f>D20+H20+L20</f>
        <v>21117334.137356408</v>
      </c>
      <c r="D20" s="599">
        <v>18804249.69735641</v>
      </c>
      <c r="E20" s="599">
        <v>27393.97</v>
      </c>
      <c r="F20" s="599">
        <v>0</v>
      </c>
      <c r="G20" s="599">
        <v>0</v>
      </c>
      <c r="H20" s="599">
        <v>362860.54000000004</v>
      </c>
      <c r="I20" s="599">
        <v>0</v>
      </c>
      <c r="J20" s="599">
        <v>362860.54000000004</v>
      </c>
      <c r="K20" s="599">
        <v>0</v>
      </c>
      <c r="L20" s="599">
        <v>1950223.9000000001</v>
      </c>
      <c r="M20" s="599">
        <v>0</v>
      </c>
      <c r="N20" s="599">
        <v>0</v>
      </c>
      <c r="O20" s="599">
        <v>0</v>
      </c>
      <c r="P20" s="599">
        <v>0</v>
      </c>
      <c r="Q20" s="599">
        <v>0</v>
      </c>
      <c r="R20" s="599">
        <v>1906345.4400000002</v>
      </c>
      <c r="S20" s="599">
        <v>0</v>
      </c>
      <c r="T20" s="601"/>
      <c r="U20" s="601"/>
      <c r="V20" s="601"/>
      <c r="W20" s="601"/>
      <c r="X20" s="601"/>
      <c r="Y20" s="601"/>
      <c r="Z20" s="601"/>
      <c r="AA20" s="654"/>
      <c r="AB20" s="623"/>
    </row>
    <row r="21" spans="1:28" x14ac:dyDescent="0.25">
      <c r="A21" s="666">
        <v>1.4</v>
      </c>
      <c r="B21" s="667" t="s">
        <v>715</v>
      </c>
      <c r="C21" s="668"/>
      <c r="D21" s="599"/>
      <c r="E21" s="599"/>
      <c r="F21" s="599"/>
      <c r="G21" s="599"/>
      <c r="H21" s="599"/>
      <c r="I21" s="599"/>
      <c r="J21" s="599"/>
      <c r="K21" s="599"/>
      <c r="L21" s="599"/>
      <c r="M21" s="599"/>
      <c r="N21" s="599"/>
      <c r="O21" s="599"/>
      <c r="P21" s="599"/>
      <c r="Q21" s="599"/>
      <c r="R21" s="599"/>
      <c r="S21" s="599"/>
      <c r="T21" s="601"/>
      <c r="U21" s="601"/>
      <c r="V21" s="601"/>
      <c r="W21" s="601"/>
      <c r="X21" s="601"/>
      <c r="Y21" s="601"/>
      <c r="Z21" s="601"/>
      <c r="AA21" s="654"/>
      <c r="AB21" s="623"/>
    </row>
    <row r="22" spans="1:28" ht="12.6" thickBot="1" x14ac:dyDescent="0.3">
      <c r="A22" s="669">
        <v>1.5</v>
      </c>
      <c r="B22" s="670" t="s">
        <v>716</v>
      </c>
      <c r="C22" s="671"/>
      <c r="D22" s="672"/>
      <c r="E22" s="672"/>
      <c r="F22" s="672"/>
      <c r="G22" s="672"/>
      <c r="H22" s="672"/>
      <c r="I22" s="672"/>
      <c r="J22" s="672"/>
      <c r="K22" s="672"/>
      <c r="L22" s="672"/>
      <c r="M22" s="672"/>
      <c r="N22" s="672"/>
      <c r="O22" s="672"/>
      <c r="P22" s="672"/>
      <c r="Q22" s="672"/>
      <c r="R22" s="672"/>
      <c r="S22" s="672"/>
      <c r="T22" s="673"/>
      <c r="U22" s="673"/>
      <c r="V22" s="673"/>
      <c r="W22" s="673"/>
      <c r="X22" s="673"/>
      <c r="Y22" s="673"/>
      <c r="Z22" s="673"/>
      <c r="AA22" s="674"/>
      <c r="AB22" s="623"/>
    </row>
  </sheetData>
  <mergeCells count="7">
    <mergeCell ref="A5:B7"/>
    <mergeCell ref="C5:AA5"/>
    <mergeCell ref="C6:C7"/>
    <mergeCell ref="D6:G6"/>
    <mergeCell ref="H6:K6"/>
    <mergeCell ref="M6:S6"/>
    <mergeCell ref="U6:AA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D0ED-E902-47CB-AF68-B886A47D0F38}">
  <dimension ref="A1:L33"/>
  <sheetViews>
    <sheetView showGridLines="0" topLeftCell="C6" zoomScaleNormal="100" workbookViewId="0">
      <selection activeCell="C7" sqref="C7:L33"/>
    </sheetView>
  </sheetViews>
  <sheetFormatPr defaultColWidth="9.109375" defaultRowHeight="12" x14ac:dyDescent="0.25"/>
  <cols>
    <col min="1" max="1" width="11.88671875" style="592" bestFit="1" customWidth="1"/>
    <col min="2" max="2" width="93.44140625" style="592" customWidth="1"/>
    <col min="3" max="3" width="14.5546875" style="592" customWidth="1"/>
    <col min="4" max="5" width="16.109375" style="592" customWidth="1"/>
    <col min="6" max="6" width="16.109375" style="641" customWidth="1"/>
    <col min="7" max="7" width="20.6640625" style="641" customWidth="1"/>
    <col min="8" max="8" width="16.109375" style="592" customWidth="1"/>
    <col min="9" max="11" width="16.109375" style="641" customWidth="1"/>
    <col min="12" max="12" width="21" style="641" customWidth="1"/>
    <col min="13" max="16384" width="9.109375" style="592"/>
  </cols>
  <sheetData>
    <row r="1" spans="1:12" ht="13.8" x14ac:dyDescent="0.3">
      <c r="A1" s="570" t="s">
        <v>41</v>
      </c>
      <c r="B1" s="22" t="str">
        <f>Info!C2</f>
        <v>სს სილქ ბანკი</v>
      </c>
      <c r="F1" s="592"/>
      <c r="G1" s="592"/>
      <c r="I1" s="592"/>
      <c r="J1" s="592"/>
      <c r="K1" s="592"/>
      <c r="L1" s="592"/>
    </row>
    <row r="2" spans="1:12" x14ac:dyDescent="0.25">
      <c r="A2" s="570" t="s">
        <v>42</v>
      </c>
      <c r="B2" s="572">
        <f>'1. key ratios'!B2</f>
        <v>45199</v>
      </c>
      <c r="F2" s="592"/>
      <c r="G2" s="592"/>
      <c r="I2" s="592"/>
      <c r="J2" s="592"/>
      <c r="K2" s="592"/>
      <c r="L2" s="592"/>
    </row>
    <row r="3" spans="1:12" x14ac:dyDescent="0.25">
      <c r="A3" s="573" t="s">
        <v>717</v>
      </c>
      <c r="F3" s="592"/>
      <c r="G3" s="592"/>
      <c r="I3" s="592"/>
      <c r="J3" s="592"/>
      <c r="K3" s="592"/>
      <c r="L3" s="592"/>
    </row>
    <row r="4" spans="1:12" ht="40.5" customHeight="1" x14ac:dyDescent="0.25">
      <c r="F4" s="592"/>
      <c r="G4" s="592"/>
      <c r="I4" s="592"/>
      <c r="J4" s="592"/>
      <c r="K4" s="592"/>
      <c r="L4" s="592"/>
    </row>
    <row r="5" spans="1:12" ht="37.5" customHeight="1" x14ac:dyDescent="0.25">
      <c r="A5" s="875" t="s">
        <v>718</v>
      </c>
      <c r="B5" s="876"/>
      <c r="C5" s="925" t="s">
        <v>591</v>
      </c>
      <c r="D5" s="926"/>
      <c r="E5" s="926"/>
      <c r="F5" s="926"/>
      <c r="G5" s="926"/>
      <c r="H5" s="925" t="s">
        <v>719</v>
      </c>
      <c r="I5" s="927"/>
      <c r="J5" s="927"/>
      <c r="K5" s="927"/>
      <c r="L5" s="928"/>
    </row>
    <row r="6" spans="1:12" ht="39.6" customHeight="1" x14ac:dyDescent="0.25">
      <c r="A6" s="879"/>
      <c r="B6" s="880"/>
      <c r="C6" s="675"/>
      <c r="D6" s="596" t="s">
        <v>666</v>
      </c>
      <c r="E6" s="596" t="s">
        <v>667</v>
      </c>
      <c r="F6" s="596" t="s">
        <v>668</v>
      </c>
      <c r="G6" s="596" t="s">
        <v>669</v>
      </c>
      <c r="H6" s="597"/>
      <c r="I6" s="596" t="s">
        <v>666</v>
      </c>
      <c r="J6" s="596" t="s">
        <v>667</v>
      </c>
      <c r="K6" s="596" t="s">
        <v>668</v>
      </c>
      <c r="L6" s="596" t="s">
        <v>669</v>
      </c>
    </row>
    <row r="7" spans="1:12" x14ac:dyDescent="0.25">
      <c r="A7" s="601">
        <v>1</v>
      </c>
      <c r="B7" s="618" t="s">
        <v>604</v>
      </c>
      <c r="C7" s="676">
        <v>943195.1300000007</v>
      </c>
      <c r="D7" s="599">
        <v>929183.67000000074</v>
      </c>
      <c r="E7" s="599">
        <v>12868.44</v>
      </c>
      <c r="F7" s="599">
        <v>1143.0199999999998</v>
      </c>
      <c r="G7" s="599">
        <v>0</v>
      </c>
      <c r="H7" s="599">
        <v>38024.775934571902</v>
      </c>
      <c r="I7" s="599">
        <v>32605.449741209668</v>
      </c>
      <c r="J7" s="599">
        <v>4431.7722494265436</v>
      </c>
      <c r="K7" s="599">
        <v>987.55394393567656</v>
      </c>
      <c r="L7" s="599">
        <v>0</v>
      </c>
    </row>
    <row r="8" spans="1:12" x14ac:dyDescent="0.25">
      <c r="A8" s="601">
        <v>2</v>
      </c>
      <c r="B8" s="618" t="s">
        <v>605</v>
      </c>
      <c r="C8" s="676">
        <v>1026129.1099999998</v>
      </c>
      <c r="D8" s="599">
        <v>1022584.3099999997</v>
      </c>
      <c r="E8" s="599">
        <v>0</v>
      </c>
      <c r="F8" s="599">
        <v>3544.8</v>
      </c>
      <c r="G8" s="599">
        <v>0</v>
      </c>
      <c r="H8" s="599">
        <v>43520.295489254597</v>
      </c>
      <c r="I8" s="599">
        <v>41479.645355434433</v>
      </c>
      <c r="J8" s="599">
        <v>0</v>
      </c>
      <c r="K8" s="599">
        <v>2040.6501338201647</v>
      </c>
      <c r="L8" s="599">
        <v>0</v>
      </c>
    </row>
    <row r="9" spans="1:12" x14ac:dyDescent="0.25">
      <c r="A9" s="601">
        <v>3</v>
      </c>
      <c r="B9" s="618" t="s">
        <v>606</v>
      </c>
      <c r="C9" s="676">
        <v>0</v>
      </c>
      <c r="D9" s="599">
        <v>0</v>
      </c>
      <c r="E9" s="599">
        <v>0</v>
      </c>
      <c r="F9" s="599">
        <v>0</v>
      </c>
      <c r="G9" s="599">
        <v>0</v>
      </c>
      <c r="H9" s="599">
        <v>0</v>
      </c>
      <c r="I9" s="599">
        <v>0</v>
      </c>
      <c r="J9" s="599">
        <v>0</v>
      </c>
      <c r="K9" s="599">
        <v>0</v>
      </c>
      <c r="L9" s="599">
        <v>0</v>
      </c>
    </row>
    <row r="10" spans="1:12" x14ac:dyDescent="0.25">
      <c r="A10" s="601">
        <v>4</v>
      </c>
      <c r="B10" s="618" t="s">
        <v>607</v>
      </c>
      <c r="C10" s="676">
        <v>6036824.580000001</v>
      </c>
      <c r="D10" s="599">
        <v>6036824.580000001</v>
      </c>
      <c r="E10" s="599">
        <v>0</v>
      </c>
      <c r="F10" s="599">
        <v>0</v>
      </c>
      <c r="G10" s="599">
        <v>0</v>
      </c>
      <c r="H10" s="599">
        <v>105189.14288372996</v>
      </c>
      <c r="I10" s="599">
        <v>105189.14288372996</v>
      </c>
      <c r="J10" s="599">
        <v>0</v>
      </c>
      <c r="K10" s="599">
        <v>0</v>
      </c>
      <c r="L10" s="599">
        <v>0</v>
      </c>
    </row>
    <row r="11" spans="1:12" x14ac:dyDescent="0.25">
      <c r="A11" s="601">
        <v>5</v>
      </c>
      <c r="B11" s="618" t="s">
        <v>608</v>
      </c>
      <c r="C11" s="676">
        <v>7188987.5799999982</v>
      </c>
      <c r="D11" s="599">
        <v>7188987.5799999982</v>
      </c>
      <c r="E11" s="599">
        <v>0</v>
      </c>
      <c r="F11" s="599">
        <v>0</v>
      </c>
      <c r="G11" s="599">
        <v>0</v>
      </c>
      <c r="H11" s="599">
        <v>103676.21252580281</v>
      </c>
      <c r="I11" s="599">
        <v>103676.21252580281</v>
      </c>
      <c r="J11" s="599">
        <v>0</v>
      </c>
      <c r="K11" s="599">
        <v>0</v>
      </c>
      <c r="L11" s="599">
        <v>0</v>
      </c>
    </row>
    <row r="12" spans="1:12" x14ac:dyDescent="0.25">
      <c r="A12" s="601">
        <v>6</v>
      </c>
      <c r="B12" s="618" t="s">
        <v>609</v>
      </c>
      <c r="C12" s="676">
        <v>222302.16999999998</v>
      </c>
      <c r="D12" s="599">
        <v>178400.06999999998</v>
      </c>
      <c r="E12" s="599">
        <v>43902.1</v>
      </c>
      <c r="F12" s="599">
        <v>0</v>
      </c>
      <c r="G12" s="599">
        <v>0</v>
      </c>
      <c r="H12" s="599">
        <v>10432.362118976203</v>
      </c>
      <c r="I12" s="599">
        <v>4847.8690406546903</v>
      </c>
      <c r="J12" s="599">
        <v>5584.493078321515</v>
      </c>
      <c r="K12" s="599">
        <v>0</v>
      </c>
      <c r="L12" s="599">
        <v>0</v>
      </c>
    </row>
    <row r="13" spans="1:12" x14ac:dyDescent="0.25">
      <c r="A13" s="601">
        <v>7</v>
      </c>
      <c r="B13" s="618" t="s">
        <v>611</v>
      </c>
      <c r="C13" s="676">
        <v>1215297.6300000004</v>
      </c>
      <c r="D13" s="599">
        <v>1215021.5200000003</v>
      </c>
      <c r="E13" s="599">
        <v>0</v>
      </c>
      <c r="F13" s="599">
        <v>276.11</v>
      </c>
      <c r="G13" s="599">
        <v>0</v>
      </c>
      <c r="H13" s="599">
        <v>19437.12641956727</v>
      </c>
      <c r="I13" s="599">
        <v>19197.955924356502</v>
      </c>
      <c r="J13" s="599">
        <v>0</v>
      </c>
      <c r="K13" s="599">
        <v>239.17049521076984</v>
      </c>
      <c r="L13" s="599">
        <v>0</v>
      </c>
    </row>
    <row r="14" spans="1:12" x14ac:dyDescent="0.25">
      <c r="A14" s="601">
        <v>8</v>
      </c>
      <c r="B14" s="618" t="s">
        <v>612</v>
      </c>
      <c r="C14" s="676">
        <v>251030.24999999997</v>
      </c>
      <c r="D14" s="599">
        <v>184922.71999999997</v>
      </c>
      <c r="E14" s="599">
        <v>65667.459999999992</v>
      </c>
      <c r="F14" s="599">
        <v>440.07</v>
      </c>
      <c r="G14" s="599">
        <v>0</v>
      </c>
      <c r="H14" s="599">
        <v>32013.195445533773</v>
      </c>
      <c r="I14" s="599">
        <v>6442.6604323201391</v>
      </c>
      <c r="J14" s="599">
        <v>25196.138337805925</v>
      </c>
      <c r="K14" s="599">
        <v>374.39667540770563</v>
      </c>
      <c r="L14" s="599">
        <v>0</v>
      </c>
    </row>
    <row r="15" spans="1:12" x14ac:dyDescent="0.25">
      <c r="A15" s="601">
        <v>9</v>
      </c>
      <c r="B15" s="618" t="s">
        <v>613</v>
      </c>
      <c r="C15" s="676">
        <v>11509.839999999998</v>
      </c>
      <c r="D15" s="599">
        <v>11447.199999999999</v>
      </c>
      <c r="E15" s="599">
        <v>0</v>
      </c>
      <c r="F15" s="599">
        <v>62.64</v>
      </c>
      <c r="G15" s="599">
        <v>0</v>
      </c>
      <c r="H15" s="599">
        <v>300.8203183689692</v>
      </c>
      <c r="I15" s="599">
        <v>250.67194472510783</v>
      </c>
      <c r="J15" s="599">
        <v>0</v>
      </c>
      <c r="K15" s="599">
        <v>50.148373643861348</v>
      </c>
      <c r="L15" s="599">
        <v>0</v>
      </c>
    </row>
    <row r="16" spans="1:12" x14ac:dyDescent="0.25">
      <c r="A16" s="601">
        <v>10</v>
      </c>
      <c r="B16" s="618" t="s">
        <v>614</v>
      </c>
      <c r="C16" s="676">
        <v>11415.220000000001</v>
      </c>
      <c r="D16" s="599">
        <v>11415.220000000001</v>
      </c>
      <c r="E16" s="599">
        <v>0</v>
      </c>
      <c r="F16" s="599">
        <v>0</v>
      </c>
      <c r="G16" s="599">
        <v>0</v>
      </c>
      <c r="H16" s="599">
        <v>122.37147559479126</v>
      </c>
      <c r="I16" s="599">
        <v>122.37147559479126</v>
      </c>
      <c r="J16" s="599">
        <v>0</v>
      </c>
      <c r="K16" s="599">
        <v>0</v>
      </c>
      <c r="L16" s="599">
        <v>0</v>
      </c>
    </row>
    <row r="17" spans="1:12" x14ac:dyDescent="0.25">
      <c r="A17" s="601">
        <v>11</v>
      </c>
      <c r="B17" s="618" t="s">
        <v>615</v>
      </c>
      <c r="C17" s="676">
        <v>23732.629999999997</v>
      </c>
      <c r="D17" s="599">
        <v>17195.989999999998</v>
      </c>
      <c r="E17" s="599">
        <v>6536.64</v>
      </c>
      <c r="F17" s="599">
        <v>0</v>
      </c>
      <c r="G17" s="599">
        <v>0</v>
      </c>
      <c r="H17" s="599">
        <v>683.36706197472233</v>
      </c>
      <c r="I17" s="599">
        <v>421.90146197472245</v>
      </c>
      <c r="J17" s="599">
        <v>261.46559999999999</v>
      </c>
      <c r="K17" s="599">
        <v>0</v>
      </c>
      <c r="L17" s="599">
        <v>0</v>
      </c>
    </row>
    <row r="18" spans="1:12" x14ac:dyDescent="0.25">
      <c r="A18" s="601">
        <v>12</v>
      </c>
      <c r="B18" s="618" t="s">
        <v>616</v>
      </c>
      <c r="C18" s="676">
        <v>257873.77</v>
      </c>
      <c r="D18" s="599">
        <v>257544.8</v>
      </c>
      <c r="E18" s="599">
        <v>0</v>
      </c>
      <c r="F18" s="599">
        <v>328.97</v>
      </c>
      <c r="G18" s="599">
        <v>0</v>
      </c>
      <c r="H18" s="599">
        <v>7796.6939307300881</v>
      </c>
      <c r="I18" s="599">
        <v>7511.7510873341616</v>
      </c>
      <c r="J18" s="599">
        <v>0</v>
      </c>
      <c r="K18" s="599">
        <v>284.94284339592701</v>
      </c>
      <c r="L18" s="599">
        <v>0</v>
      </c>
    </row>
    <row r="19" spans="1:12" x14ac:dyDescent="0.25">
      <c r="A19" s="601">
        <v>13</v>
      </c>
      <c r="B19" s="618" t="s">
        <v>617</v>
      </c>
      <c r="C19" s="676">
        <v>540969.15999999992</v>
      </c>
      <c r="D19" s="599">
        <v>540653.58999999985</v>
      </c>
      <c r="E19" s="599">
        <v>137.79999999999998</v>
      </c>
      <c r="F19" s="599">
        <v>177.77</v>
      </c>
      <c r="G19" s="599">
        <v>0</v>
      </c>
      <c r="H19" s="599">
        <v>7223.649850556927</v>
      </c>
      <c r="I19" s="599">
        <v>6992.3707932430661</v>
      </c>
      <c r="J19" s="599">
        <v>77.292099457867053</v>
      </c>
      <c r="K19" s="599">
        <v>153.98695785599418</v>
      </c>
      <c r="L19" s="599">
        <v>0</v>
      </c>
    </row>
    <row r="20" spans="1:12" x14ac:dyDescent="0.25">
      <c r="A20" s="601">
        <v>14</v>
      </c>
      <c r="B20" s="618" t="s">
        <v>618</v>
      </c>
      <c r="C20" s="676">
        <v>1380575.2099999995</v>
      </c>
      <c r="D20" s="599">
        <v>1380575.2099999995</v>
      </c>
      <c r="E20" s="599">
        <v>0</v>
      </c>
      <c r="F20" s="599">
        <v>0</v>
      </c>
      <c r="G20" s="599">
        <v>0</v>
      </c>
      <c r="H20" s="599">
        <v>27811.878829883972</v>
      </c>
      <c r="I20" s="599">
        <v>27811.878829883972</v>
      </c>
      <c r="J20" s="599">
        <v>0</v>
      </c>
      <c r="K20" s="599">
        <v>0</v>
      </c>
      <c r="L20" s="599">
        <v>0</v>
      </c>
    </row>
    <row r="21" spans="1:12" x14ac:dyDescent="0.25">
      <c r="A21" s="601">
        <v>15</v>
      </c>
      <c r="B21" s="618" t="s">
        <v>619</v>
      </c>
      <c r="C21" s="676">
        <v>43463.77</v>
      </c>
      <c r="D21" s="599">
        <v>43173.53</v>
      </c>
      <c r="E21" s="599">
        <v>290.24</v>
      </c>
      <c r="F21" s="599">
        <v>0</v>
      </c>
      <c r="G21" s="599">
        <v>0</v>
      </c>
      <c r="H21" s="599">
        <v>1763.3207272008897</v>
      </c>
      <c r="I21" s="599">
        <v>1605.3928065148461</v>
      </c>
      <c r="J21" s="599">
        <v>157.92792068604356</v>
      </c>
      <c r="K21" s="599">
        <v>0</v>
      </c>
      <c r="L21" s="599">
        <v>0</v>
      </c>
    </row>
    <row r="22" spans="1:12" x14ac:dyDescent="0.25">
      <c r="A22" s="601">
        <v>16</v>
      </c>
      <c r="B22" s="614" t="s">
        <v>620</v>
      </c>
      <c r="C22" s="676">
        <v>28133.15</v>
      </c>
      <c r="D22" s="599">
        <v>28133.15</v>
      </c>
      <c r="E22" s="599">
        <v>0</v>
      </c>
      <c r="F22" s="599">
        <v>0</v>
      </c>
      <c r="G22" s="599">
        <v>0</v>
      </c>
      <c r="H22" s="599">
        <v>1125.326</v>
      </c>
      <c r="I22" s="599">
        <v>1125.326</v>
      </c>
      <c r="J22" s="599">
        <v>0</v>
      </c>
      <c r="K22" s="599">
        <v>0</v>
      </c>
      <c r="L22" s="599">
        <v>0</v>
      </c>
    </row>
    <row r="23" spans="1:12" x14ac:dyDescent="0.25">
      <c r="A23" s="601">
        <v>17</v>
      </c>
      <c r="B23" s="618" t="s">
        <v>621</v>
      </c>
      <c r="C23" s="676">
        <v>56446.93</v>
      </c>
      <c r="D23" s="599">
        <v>49712.28</v>
      </c>
      <c r="E23" s="599">
        <v>0</v>
      </c>
      <c r="F23" s="599">
        <v>6734.65</v>
      </c>
      <c r="G23" s="599">
        <v>0</v>
      </c>
      <c r="H23" s="599">
        <v>5373.6738343159877</v>
      </c>
      <c r="I23" s="599">
        <v>1496.7091469621257</v>
      </c>
      <c r="J23" s="599">
        <v>0</v>
      </c>
      <c r="K23" s="599">
        <v>3876.9646873538622</v>
      </c>
      <c r="L23" s="599">
        <v>0</v>
      </c>
    </row>
    <row r="24" spans="1:12" x14ac:dyDescent="0.25">
      <c r="A24" s="601">
        <v>18</v>
      </c>
      <c r="B24" s="618" t="s">
        <v>623</v>
      </c>
      <c r="C24" s="676">
        <v>82298.719999999987</v>
      </c>
      <c r="D24" s="599">
        <v>82298.719999999987</v>
      </c>
      <c r="E24" s="599">
        <v>0</v>
      </c>
      <c r="F24" s="599">
        <v>0</v>
      </c>
      <c r="G24" s="599">
        <v>0</v>
      </c>
      <c r="H24" s="599">
        <v>1833.4860953657667</v>
      </c>
      <c r="I24" s="599">
        <v>1833.4860953657667</v>
      </c>
      <c r="J24" s="599">
        <v>0</v>
      </c>
      <c r="K24" s="599">
        <v>0</v>
      </c>
      <c r="L24" s="599">
        <v>0</v>
      </c>
    </row>
    <row r="25" spans="1:12" x14ac:dyDescent="0.25">
      <c r="A25" s="601">
        <v>19</v>
      </c>
      <c r="B25" s="618" t="s">
        <v>624</v>
      </c>
      <c r="C25" s="676">
        <v>130828.8</v>
      </c>
      <c r="D25" s="599">
        <v>130828.8</v>
      </c>
      <c r="E25" s="599">
        <v>0</v>
      </c>
      <c r="F25" s="599">
        <v>0</v>
      </c>
      <c r="G25" s="599">
        <v>0</v>
      </c>
      <c r="H25" s="599">
        <v>4520.4379748266501</v>
      </c>
      <c r="I25" s="599">
        <v>4520.4379748266501</v>
      </c>
      <c r="J25" s="599">
        <v>0</v>
      </c>
      <c r="K25" s="599">
        <v>0</v>
      </c>
      <c r="L25" s="599">
        <v>0</v>
      </c>
    </row>
    <row r="26" spans="1:12" x14ac:dyDescent="0.25">
      <c r="A26" s="601">
        <v>20</v>
      </c>
      <c r="B26" s="618" t="s">
        <v>625</v>
      </c>
      <c r="C26" s="676">
        <v>86690.02</v>
      </c>
      <c r="D26" s="599">
        <v>86367.6</v>
      </c>
      <c r="E26" s="599">
        <v>0</v>
      </c>
      <c r="F26" s="599">
        <v>322.42</v>
      </c>
      <c r="G26" s="599">
        <v>0</v>
      </c>
      <c r="H26" s="599">
        <v>2813.398702900929</v>
      </c>
      <c r="I26" s="599">
        <v>2534.1138125823732</v>
      </c>
      <c r="J26" s="599">
        <v>0</v>
      </c>
      <c r="K26" s="599">
        <v>279.28489031855571</v>
      </c>
      <c r="L26" s="599">
        <v>0</v>
      </c>
    </row>
    <row r="27" spans="1:12" x14ac:dyDescent="0.25">
      <c r="A27" s="601">
        <v>21</v>
      </c>
      <c r="B27" s="618" t="s">
        <v>626</v>
      </c>
      <c r="C27" s="676">
        <v>143686.34999999998</v>
      </c>
      <c r="D27" s="599">
        <v>143686.34999999998</v>
      </c>
      <c r="E27" s="599">
        <v>0</v>
      </c>
      <c r="F27" s="599">
        <v>0</v>
      </c>
      <c r="G27" s="599">
        <v>0</v>
      </c>
      <c r="H27" s="599">
        <v>7170.1200954827309</v>
      </c>
      <c r="I27" s="599">
        <v>7170.1200954827309</v>
      </c>
      <c r="J27" s="599">
        <v>0</v>
      </c>
      <c r="K27" s="599">
        <v>0</v>
      </c>
      <c r="L27" s="599">
        <v>0</v>
      </c>
    </row>
    <row r="28" spans="1:12" x14ac:dyDescent="0.25">
      <c r="A28" s="601">
        <v>22</v>
      </c>
      <c r="B28" s="618" t="s">
        <v>627</v>
      </c>
      <c r="C28" s="676">
        <v>2527922.7100000028</v>
      </c>
      <c r="D28" s="599">
        <v>2359862.4100000015</v>
      </c>
      <c r="E28" s="599">
        <v>123753.61000000002</v>
      </c>
      <c r="F28" s="599">
        <v>44306.69</v>
      </c>
      <c r="G28" s="599">
        <v>0</v>
      </c>
      <c r="H28" s="599">
        <v>128892.83928580859</v>
      </c>
      <c r="I28" s="599">
        <v>75257.156463958527</v>
      </c>
      <c r="J28" s="599">
        <v>28129.461630914455</v>
      </c>
      <c r="K28" s="599">
        <v>25506.221190935612</v>
      </c>
      <c r="L28" s="599">
        <v>0</v>
      </c>
    </row>
    <row r="29" spans="1:12" x14ac:dyDescent="0.25">
      <c r="A29" s="601">
        <v>23</v>
      </c>
      <c r="B29" s="618" t="s">
        <v>628</v>
      </c>
      <c r="C29" s="676">
        <v>3713822.7299999967</v>
      </c>
      <c r="D29" s="599">
        <v>3581602.5399999968</v>
      </c>
      <c r="E29" s="599">
        <v>37807.74</v>
      </c>
      <c r="F29" s="599">
        <v>94412.45</v>
      </c>
      <c r="G29" s="599">
        <v>0</v>
      </c>
      <c r="H29" s="599">
        <v>147029.4962633758</v>
      </c>
      <c r="I29" s="599">
        <v>87682.527425827167</v>
      </c>
      <c r="J29" s="599">
        <v>4996.1510969734645</v>
      </c>
      <c r="K29" s="599">
        <v>54350.817740574814</v>
      </c>
      <c r="L29" s="599">
        <v>0</v>
      </c>
    </row>
    <row r="30" spans="1:12" x14ac:dyDescent="0.25">
      <c r="A30" s="601">
        <v>24</v>
      </c>
      <c r="B30" s="618" t="s">
        <v>629</v>
      </c>
      <c r="C30" s="676">
        <v>1660121.2700000003</v>
      </c>
      <c r="D30" s="599">
        <v>601588.61</v>
      </c>
      <c r="E30" s="599">
        <v>0</v>
      </c>
      <c r="F30" s="599">
        <v>1058532.6599999999</v>
      </c>
      <c r="G30" s="599">
        <v>0</v>
      </c>
      <c r="H30" s="599">
        <v>371239.3771010724</v>
      </c>
      <c r="I30" s="599">
        <v>6173.647198552756</v>
      </c>
      <c r="J30" s="599">
        <v>0</v>
      </c>
      <c r="K30" s="599">
        <v>365065.72990251967</v>
      </c>
      <c r="L30" s="599">
        <v>0</v>
      </c>
    </row>
    <row r="31" spans="1:12" x14ac:dyDescent="0.25">
      <c r="A31" s="601">
        <v>25</v>
      </c>
      <c r="B31" s="618" t="s">
        <v>223</v>
      </c>
      <c r="C31" s="676">
        <v>4231126.1720021553</v>
      </c>
      <c r="D31" s="599">
        <v>4139587.8120021555</v>
      </c>
      <c r="E31" s="601">
        <v>12069.75</v>
      </c>
      <c r="F31" s="601">
        <v>79468.609999999986</v>
      </c>
      <c r="G31" s="599">
        <v>0</v>
      </c>
      <c r="H31" s="601">
        <v>133551.234526969</v>
      </c>
      <c r="I31" s="599">
        <v>97686.509006228473</v>
      </c>
      <c r="J31" s="599">
        <v>1535.312327475704</v>
      </c>
      <c r="K31" s="599">
        <v>34329.413193264809</v>
      </c>
      <c r="L31" s="599">
        <v>0</v>
      </c>
    </row>
    <row r="32" spans="1:12" x14ac:dyDescent="0.25">
      <c r="A32" s="601">
        <v>26</v>
      </c>
      <c r="B32" s="618" t="s">
        <v>720</v>
      </c>
      <c r="C32" s="676">
        <v>0</v>
      </c>
      <c r="D32" s="599">
        <v>0</v>
      </c>
      <c r="E32" s="599">
        <v>0</v>
      </c>
      <c r="F32" s="599">
        <v>0</v>
      </c>
      <c r="G32" s="599">
        <v>0</v>
      </c>
      <c r="H32" s="676">
        <v>0</v>
      </c>
      <c r="I32" s="676">
        <v>0</v>
      </c>
      <c r="J32" s="676">
        <v>0</v>
      </c>
      <c r="K32" s="676">
        <v>0</v>
      </c>
      <c r="L32" s="599">
        <v>0</v>
      </c>
    </row>
    <row r="33" spans="1:12" x14ac:dyDescent="0.25">
      <c r="A33" s="601">
        <v>27</v>
      </c>
      <c r="B33" s="677" t="s">
        <v>103</v>
      </c>
      <c r="C33" s="678">
        <f>SUM(C7:C32)</f>
        <v>31814382.902002148</v>
      </c>
      <c r="D33" s="678">
        <f t="shared" ref="D33:L33" si="0">SUM(D7:D32)</f>
        <v>30221598.262002155</v>
      </c>
      <c r="E33" s="678">
        <f t="shared" si="0"/>
        <v>303033.78000000003</v>
      </c>
      <c r="F33" s="678">
        <f t="shared" si="0"/>
        <v>1289750.8599999999</v>
      </c>
      <c r="G33" s="678">
        <f t="shared" si="0"/>
        <v>0</v>
      </c>
      <c r="H33" s="678">
        <f t="shared" si="0"/>
        <v>1201544.6028918647</v>
      </c>
      <c r="I33" s="678">
        <f t="shared" si="0"/>
        <v>643635.30752256559</v>
      </c>
      <c r="J33" s="678">
        <f t="shared" si="0"/>
        <v>70370.014341061527</v>
      </c>
      <c r="K33" s="678">
        <f t="shared" si="0"/>
        <v>487539.28102823743</v>
      </c>
      <c r="L33" s="678">
        <f t="shared" si="0"/>
        <v>0</v>
      </c>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CBC2-D99A-4ABC-908C-A4E43D42EA72}">
  <dimension ref="A1:L17"/>
  <sheetViews>
    <sheetView showGridLines="0" topLeftCell="F3" zoomScaleNormal="100" workbookViewId="0">
      <selection activeCell="K6" sqref="C6:K11"/>
    </sheetView>
  </sheetViews>
  <sheetFormatPr defaultColWidth="8.6640625" defaultRowHeight="12" x14ac:dyDescent="0.25"/>
  <cols>
    <col min="1" max="1" width="11.88671875" style="682" bestFit="1" customWidth="1"/>
    <col min="2" max="2" width="80" style="682" customWidth="1"/>
    <col min="3" max="11" width="20.5546875" style="682" customWidth="1"/>
    <col min="12" max="12" width="12.44140625" style="681" bestFit="1" customWidth="1"/>
    <col min="13" max="16384" width="8.6640625" style="682"/>
  </cols>
  <sheetData>
    <row r="1" spans="1:12" s="571" customFormat="1" ht="13.8" x14ac:dyDescent="0.3">
      <c r="A1" s="570" t="s">
        <v>41</v>
      </c>
      <c r="B1" s="22" t="str">
        <f>Info!C2</f>
        <v>სს სილქ ბანკი</v>
      </c>
      <c r="C1" s="592"/>
      <c r="D1" s="592"/>
      <c r="E1" s="592"/>
      <c r="F1" s="592"/>
      <c r="G1" s="592"/>
      <c r="H1" s="592"/>
      <c r="I1" s="592"/>
      <c r="J1" s="592"/>
      <c r="K1" s="592"/>
      <c r="L1" s="622"/>
    </row>
    <row r="2" spans="1:12" s="571" customFormat="1" x14ac:dyDescent="0.25">
      <c r="A2" s="570" t="s">
        <v>42</v>
      </c>
      <c r="B2" s="572">
        <f>'1. key ratios'!B2</f>
        <v>45199</v>
      </c>
      <c r="C2" s="592"/>
      <c r="D2" s="592"/>
      <c r="E2" s="592"/>
      <c r="F2" s="592"/>
      <c r="G2" s="592"/>
      <c r="H2" s="592"/>
      <c r="I2" s="592"/>
      <c r="J2" s="592"/>
      <c r="K2" s="592"/>
      <c r="L2" s="622"/>
    </row>
    <row r="3" spans="1:12" s="571" customFormat="1" x14ac:dyDescent="0.25">
      <c r="A3" s="573" t="s">
        <v>721</v>
      </c>
      <c r="B3" s="592"/>
      <c r="C3" s="592"/>
      <c r="D3" s="592"/>
      <c r="E3" s="592"/>
      <c r="F3" s="592"/>
      <c r="G3" s="592"/>
      <c r="H3" s="592"/>
      <c r="I3" s="592"/>
      <c r="J3" s="592"/>
      <c r="K3" s="592"/>
      <c r="L3" s="622"/>
    </row>
    <row r="4" spans="1:12" ht="40.5" customHeight="1" x14ac:dyDescent="0.25">
      <c r="A4" s="679"/>
      <c r="B4" s="679"/>
      <c r="C4" s="680" t="s">
        <v>584</v>
      </c>
      <c r="D4" s="680" t="s">
        <v>585</v>
      </c>
      <c r="E4" s="680" t="s">
        <v>586</v>
      </c>
      <c r="F4" s="680" t="s">
        <v>587</v>
      </c>
      <c r="G4" s="680" t="s">
        <v>588</v>
      </c>
      <c r="H4" s="680" t="s">
        <v>589</v>
      </c>
      <c r="I4" s="680" t="s">
        <v>722</v>
      </c>
      <c r="J4" s="680" t="s">
        <v>723</v>
      </c>
      <c r="K4" s="680" t="s">
        <v>724</v>
      </c>
    </row>
    <row r="5" spans="1:12" ht="104.1" customHeight="1" x14ac:dyDescent="0.25">
      <c r="A5" s="929" t="s">
        <v>725</v>
      </c>
      <c r="B5" s="930"/>
      <c r="C5" s="635" t="s">
        <v>726</v>
      </c>
      <c r="D5" s="635" t="s">
        <v>727</v>
      </c>
      <c r="E5" s="635" t="s">
        <v>728</v>
      </c>
      <c r="F5" s="635" t="s">
        <v>729</v>
      </c>
      <c r="G5" s="635" t="s">
        <v>730</v>
      </c>
      <c r="H5" s="635" t="s">
        <v>731</v>
      </c>
      <c r="I5" s="635" t="s">
        <v>732</v>
      </c>
      <c r="J5" s="635" t="s">
        <v>733</v>
      </c>
      <c r="K5" s="635" t="s">
        <v>734</v>
      </c>
    </row>
    <row r="6" spans="1:12" x14ac:dyDescent="0.25">
      <c r="A6" s="601">
        <v>1</v>
      </c>
      <c r="B6" s="601" t="s">
        <v>735</v>
      </c>
      <c r="C6" s="599">
        <v>1431151.4899999998</v>
      </c>
      <c r="D6" s="599"/>
      <c r="E6" s="599"/>
      <c r="F6" s="599"/>
      <c r="G6" s="599">
        <v>20921440.428544857</v>
      </c>
      <c r="H6" s="599"/>
      <c r="I6" s="600"/>
      <c r="J6" s="599">
        <v>2347214.23</v>
      </c>
      <c r="K6" s="599">
        <f>'23. LTV'!C9-J6-I6-G6-C6</f>
        <v>1891259.3634572686</v>
      </c>
      <c r="L6" s="683">
        <f>'23. LTV'!C9-'25. Collateral'!J6-'25. Collateral'!G6-'25. Collateral'!C6-K6</f>
        <v>0</v>
      </c>
    </row>
    <row r="7" spans="1:12" x14ac:dyDescent="0.25">
      <c r="A7" s="601">
        <v>2</v>
      </c>
      <c r="B7" s="601" t="s">
        <v>736</v>
      </c>
      <c r="C7" s="599"/>
      <c r="D7" s="599"/>
      <c r="E7" s="599"/>
      <c r="F7" s="599"/>
      <c r="G7" s="599"/>
      <c r="H7" s="599"/>
      <c r="I7" s="599"/>
      <c r="J7" s="599"/>
      <c r="K7" s="599"/>
    </row>
    <row r="8" spans="1:12" x14ac:dyDescent="0.25">
      <c r="A8" s="601">
        <v>3</v>
      </c>
      <c r="B8" s="601" t="s">
        <v>684</v>
      </c>
      <c r="C8" s="599">
        <v>1566283</v>
      </c>
      <c r="D8" s="599"/>
      <c r="E8" s="599"/>
      <c r="F8" s="599"/>
      <c r="G8" s="599">
        <v>2259796.16</v>
      </c>
      <c r="H8" s="599"/>
      <c r="I8" s="599"/>
      <c r="J8" s="599"/>
      <c r="K8" s="599">
        <f>'4. Off-balance'!E27+'4. Off-balance'!E28-C8-G8-I8</f>
        <v>3024976.7300000004</v>
      </c>
    </row>
    <row r="9" spans="1:12" x14ac:dyDescent="0.25">
      <c r="A9" s="601">
        <v>4</v>
      </c>
      <c r="B9" s="628" t="s">
        <v>737</v>
      </c>
      <c r="C9" s="684"/>
      <c r="D9" s="684"/>
      <c r="E9" s="684"/>
      <c r="F9" s="684"/>
      <c r="G9" s="684"/>
      <c r="H9" s="684"/>
      <c r="I9" s="684"/>
      <c r="J9" s="684"/>
      <c r="K9" s="684"/>
    </row>
    <row r="10" spans="1:12" x14ac:dyDescent="0.25">
      <c r="A10" s="601">
        <v>5</v>
      </c>
      <c r="B10" s="628" t="s">
        <v>738</v>
      </c>
      <c r="C10" s="684"/>
      <c r="D10" s="684"/>
      <c r="E10" s="684"/>
      <c r="F10" s="684"/>
      <c r="G10" s="684"/>
      <c r="H10" s="684"/>
      <c r="I10" s="684"/>
      <c r="J10" s="684"/>
      <c r="K10" s="684"/>
    </row>
    <row r="11" spans="1:12" x14ac:dyDescent="0.25">
      <c r="A11" s="601">
        <v>6</v>
      </c>
      <c r="B11" s="628" t="s">
        <v>739</v>
      </c>
      <c r="C11" s="684"/>
      <c r="D11" s="684"/>
      <c r="E11" s="684"/>
      <c r="F11" s="684"/>
      <c r="G11" s="684"/>
      <c r="H11" s="684"/>
      <c r="I11" s="684"/>
      <c r="J11" s="684"/>
      <c r="K11" s="684"/>
    </row>
    <row r="17" spans="2:2" x14ac:dyDescent="0.25">
      <c r="B17" s="685"/>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1F7EE-DDEA-48B8-A5DC-4DF0AAEE6FBF}">
  <dimension ref="A1:BP27"/>
  <sheetViews>
    <sheetView showGridLines="0" topLeftCell="A6" zoomScaleNormal="100" workbookViewId="0">
      <selection activeCell="G23" sqref="G23"/>
    </sheetView>
  </sheetViews>
  <sheetFormatPr defaultColWidth="8.6640625" defaultRowHeight="14.4" x14ac:dyDescent="0.3"/>
  <cols>
    <col min="1" max="1" width="8.6640625" style="686"/>
    <col min="2" max="2" width="13.6640625" style="686" customWidth="1"/>
    <col min="3" max="3" width="56.44140625" style="686" customWidth="1"/>
    <col min="4" max="4" width="17.33203125" style="686" customWidth="1"/>
    <col min="5" max="5" width="15.88671875" style="686" bestFit="1" customWidth="1"/>
    <col min="6" max="7" width="14.88671875" style="686" customWidth="1"/>
    <col min="8" max="8" width="23" style="686" customWidth="1"/>
    <col min="9" max="9" width="16.5546875" style="686" customWidth="1"/>
    <col min="10" max="10" width="17.44140625" style="686" customWidth="1"/>
    <col min="11" max="11" width="16.44140625" style="686" customWidth="1"/>
    <col min="12" max="12" width="25.109375" style="686" customWidth="1"/>
    <col min="13" max="13" width="22.109375" style="686" customWidth="1"/>
    <col min="14" max="14" width="12.88671875" style="686" customWidth="1"/>
    <col min="15" max="15" width="15.109375" style="686" bestFit="1" customWidth="1"/>
    <col min="16" max="16" width="14.109375" style="686" customWidth="1"/>
    <col min="17" max="17" width="14.33203125" style="686" customWidth="1"/>
    <col min="18" max="18" width="25.6640625" style="686" customWidth="1"/>
    <col min="19" max="19" width="13.5546875" style="686" customWidth="1"/>
    <col min="20" max="20" width="19.33203125" style="686" customWidth="1"/>
    <col min="21" max="21" width="23.33203125" style="686" customWidth="1"/>
    <col min="22" max="22" width="21.88671875" style="686" customWidth="1"/>
    <col min="23" max="23" width="21" style="686" customWidth="1"/>
    <col min="24" max="16384" width="8.6640625" style="686"/>
  </cols>
  <sheetData>
    <row r="1" spans="1:68" x14ac:dyDescent="0.3">
      <c r="B1" s="570" t="s">
        <v>41</v>
      </c>
      <c r="C1" s="22" t="str">
        <f>Info!C2</f>
        <v>სს სილქ ბანკი</v>
      </c>
    </row>
    <row r="2" spans="1:68" x14ac:dyDescent="0.3">
      <c r="B2" s="570" t="s">
        <v>42</v>
      </c>
      <c r="C2" s="572">
        <f>'1. key ratios'!B2</f>
        <v>45199</v>
      </c>
    </row>
    <row r="3" spans="1:68" x14ac:dyDescent="0.3">
      <c r="B3" s="573" t="s">
        <v>740</v>
      </c>
      <c r="C3" s="592"/>
    </row>
    <row r="4" spans="1:68" ht="40.5" customHeight="1" x14ac:dyDescent="0.3">
      <c r="B4" s="573"/>
      <c r="C4" s="592"/>
    </row>
    <row r="5" spans="1:68" ht="24" customHeight="1" x14ac:dyDescent="0.3">
      <c r="B5" s="932" t="s">
        <v>741</v>
      </c>
      <c r="C5" s="932"/>
      <c r="D5" s="933" t="s">
        <v>742</v>
      </c>
      <c r="E5" s="933"/>
      <c r="F5" s="933"/>
      <c r="G5" s="933"/>
      <c r="H5" s="933"/>
      <c r="I5" s="933" t="s">
        <v>591</v>
      </c>
      <c r="J5" s="933"/>
      <c r="K5" s="933"/>
      <c r="L5" s="933"/>
      <c r="M5" s="933"/>
      <c r="N5" s="933" t="s">
        <v>592</v>
      </c>
      <c r="O5" s="933"/>
      <c r="P5" s="933"/>
      <c r="Q5" s="933"/>
      <c r="R5" s="933"/>
      <c r="S5" s="931" t="s">
        <v>743</v>
      </c>
      <c r="T5" s="931" t="s">
        <v>744</v>
      </c>
      <c r="U5" s="931" t="s">
        <v>745</v>
      </c>
      <c r="V5" s="931" t="s">
        <v>746</v>
      </c>
      <c r="W5" s="931" t="s">
        <v>747</v>
      </c>
    </row>
    <row r="6" spans="1:68" ht="45" customHeight="1" x14ac:dyDescent="0.3">
      <c r="B6" s="932"/>
      <c r="C6" s="932"/>
      <c r="D6" s="687"/>
      <c r="E6" s="596" t="s">
        <v>666</v>
      </c>
      <c r="F6" s="596" t="s">
        <v>667</v>
      </c>
      <c r="G6" s="596" t="s">
        <v>668</v>
      </c>
      <c r="H6" s="596" t="s">
        <v>669</v>
      </c>
      <c r="I6" s="687"/>
      <c r="J6" s="596" t="s">
        <v>666</v>
      </c>
      <c r="K6" s="596" t="s">
        <v>667</v>
      </c>
      <c r="L6" s="596" t="s">
        <v>668</v>
      </c>
      <c r="M6" s="596" t="s">
        <v>669</v>
      </c>
      <c r="N6" s="687"/>
      <c r="O6" s="596" t="s">
        <v>666</v>
      </c>
      <c r="P6" s="596" t="s">
        <v>667</v>
      </c>
      <c r="Q6" s="596" t="s">
        <v>668</v>
      </c>
      <c r="R6" s="596" t="s">
        <v>669</v>
      </c>
      <c r="S6" s="931"/>
      <c r="T6" s="931"/>
      <c r="U6" s="931"/>
      <c r="V6" s="931"/>
      <c r="W6" s="931"/>
    </row>
    <row r="7" spans="1:68" x14ac:dyDescent="0.3">
      <c r="B7" s="688">
        <v>1</v>
      </c>
      <c r="C7" s="689" t="s">
        <v>748</v>
      </c>
      <c r="D7" s="690">
        <v>7189.9804740285272</v>
      </c>
      <c r="E7" s="684">
        <v>7189.9804740285272</v>
      </c>
      <c r="F7" s="684">
        <v>0</v>
      </c>
      <c r="G7" s="684">
        <v>0</v>
      </c>
      <c r="H7" s="684"/>
      <c r="I7" s="684">
        <v>191420.23000000004</v>
      </c>
      <c r="J7" s="684">
        <v>191420.23000000004</v>
      </c>
      <c r="K7" s="684">
        <v>0</v>
      </c>
      <c r="L7" s="684">
        <v>0</v>
      </c>
      <c r="M7" s="684"/>
      <c r="N7" s="684">
        <v>7189.9804740285272</v>
      </c>
      <c r="O7" s="684">
        <v>7189.9804740285272</v>
      </c>
      <c r="P7" s="684">
        <v>0</v>
      </c>
      <c r="Q7" s="684">
        <v>0</v>
      </c>
      <c r="R7" s="684"/>
      <c r="S7" s="691">
        <v>19</v>
      </c>
      <c r="T7" s="692">
        <v>0.34675117973813502</v>
      </c>
      <c r="U7" s="692">
        <v>0.41028521955464298</v>
      </c>
      <c r="V7" s="692">
        <v>0.34135966605554602</v>
      </c>
      <c r="W7" s="684">
        <v>31.060914640483301</v>
      </c>
    </row>
    <row r="8" spans="1:68" x14ac:dyDescent="0.3">
      <c r="B8" s="688">
        <v>2</v>
      </c>
      <c r="C8" s="693" t="s">
        <v>610</v>
      </c>
      <c r="D8" s="690">
        <v>9881492.519999994</v>
      </c>
      <c r="E8" s="684">
        <v>9431953.8199999947</v>
      </c>
      <c r="F8" s="684">
        <v>225299.42</v>
      </c>
      <c r="G8" s="684">
        <v>224239.28000000003</v>
      </c>
      <c r="H8" s="684"/>
      <c r="I8" s="684">
        <v>9989171.302002145</v>
      </c>
      <c r="J8" s="684">
        <v>9524860.6020021457</v>
      </c>
      <c r="K8" s="684">
        <v>236715.02999999997</v>
      </c>
      <c r="L8" s="684">
        <v>227595.66999999998</v>
      </c>
      <c r="M8" s="684"/>
      <c r="N8" s="684">
        <v>440470.23355317715</v>
      </c>
      <c r="O8" s="684">
        <v>276127.68567735085</v>
      </c>
      <c r="P8" s="684">
        <v>44840.588701373861</v>
      </c>
      <c r="Q8" s="684">
        <v>119501.95917445245</v>
      </c>
      <c r="R8" s="684"/>
      <c r="S8" s="691">
        <v>717</v>
      </c>
      <c r="T8" s="692">
        <v>0.19988669665939199</v>
      </c>
      <c r="U8" s="692">
        <v>0.231055538302092</v>
      </c>
      <c r="V8" s="692">
        <v>0.17006491358859099</v>
      </c>
      <c r="W8" s="684">
        <v>53.167587394455303</v>
      </c>
    </row>
    <row r="9" spans="1:68" x14ac:dyDescent="0.3">
      <c r="B9" s="688">
        <v>3</v>
      </c>
      <c r="C9" s="693" t="s">
        <v>749</v>
      </c>
      <c r="D9" s="690">
        <v>21204.87</v>
      </c>
      <c r="E9" s="684">
        <v>17503.73</v>
      </c>
      <c r="F9" s="684">
        <v>607.6</v>
      </c>
      <c r="G9" s="684">
        <v>3093.54</v>
      </c>
      <c r="H9" s="684"/>
      <c r="I9" s="684">
        <v>21315.34</v>
      </c>
      <c r="J9" s="684">
        <v>17567.52</v>
      </c>
      <c r="K9" s="684">
        <v>651.29</v>
      </c>
      <c r="L9" s="684">
        <v>3096.5299999999997</v>
      </c>
      <c r="M9" s="684"/>
      <c r="N9" s="684">
        <v>5006.4207392882554</v>
      </c>
      <c r="O9" s="684">
        <v>2004.3461494196536</v>
      </c>
      <c r="P9" s="684">
        <v>333.28730188173051</v>
      </c>
      <c r="Q9" s="684">
        <v>2668.7872879868714</v>
      </c>
      <c r="R9" s="684"/>
      <c r="S9" s="691">
        <v>89</v>
      </c>
      <c r="T9" s="692">
        <v>0</v>
      </c>
      <c r="U9" s="692">
        <v>0</v>
      </c>
      <c r="V9" s="692">
        <v>0.35</v>
      </c>
      <c r="W9" s="684">
        <v>61.386516870888599</v>
      </c>
    </row>
    <row r="10" spans="1:68" x14ac:dyDescent="0.3">
      <c r="B10" s="688">
        <v>4</v>
      </c>
      <c r="C10" s="693" t="s">
        <v>750</v>
      </c>
      <c r="D10" s="690">
        <v>5413.02</v>
      </c>
      <c r="E10" s="684">
        <v>5413.02</v>
      </c>
      <c r="F10" s="684">
        <v>0</v>
      </c>
      <c r="G10" s="684">
        <v>0</v>
      </c>
      <c r="H10" s="684"/>
      <c r="I10" s="684">
        <v>5413.02</v>
      </c>
      <c r="J10" s="684">
        <v>5413.02</v>
      </c>
      <c r="K10" s="684">
        <v>0</v>
      </c>
      <c r="L10" s="684">
        <v>0</v>
      </c>
      <c r="M10" s="684"/>
      <c r="N10" s="684">
        <v>114.82615718708672</v>
      </c>
      <c r="O10" s="684">
        <v>114.82615718708672</v>
      </c>
      <c r="P10" s="684">
        <v>0</v>
      </c>
      <c r="Q10" s="684">
        <v>0</v>
      </c>
      <c r="R10" s="684"/>
      <c r="S10" s="691">
        <v>8</v>
      </c>
      <c r="T10" s="692">
        <v>0</v>
      </c>
      <c r="U10" s="692">
        <v>0</v>
      </c>
      <c r="V10" s="692">
        <v>0</v>
      </c>
      <c r="W10" s="684">
        <v>14.174906244573201</v>
      </c>
    </row>
    <row r="11" spans="1:68" x14ac:dyDescent="0.3">
      <c r="B11" s="688">
        <v>5</v>
      </c>
      <c r="C11" s="693" t="s">
        <v>751</v>
      </c>
      <c r="D11" s="690">
        <v>32914.949999999997</v>
      </c>
      <c r="E11" s="684">
        <v>32395.96</v>
      </c>
      <c r="F11" s="684">
        <v>0</v>
      </c>
      <c r="G11" s="684">
        <v>518.99</v>
      </c>
      <c r="H11" s="684"/>
      <c r="I11" s="684">
        <v>32971.199999999997</v>
      </c>
      <c r="J11" s="684">
        <v>32445.199999999997</v>
      </c>
      <c r="K11" s="684">
        <v>0</v>
      </c>
      <c r="L11" s="684">
        <v>526</v>
      </c>
      <c r="M11" s="684"/>
      <c r="N11" s="684">
        <v>991.06327587666692</v>
      </c>
      <c r="O11" s="684">
        <v>688.25861259822898</v>
      </c>
      <c r="P11" s="684">
        <v>0</v>
      </c>
      <c r="Q11" s="684">
        <v>302.80466327843789</v>
      </c>
      <c r="R11" s="684"/>
      <c r="S11" s="691">
        <v>27</v>
      </c>
      <c r="T11" s="692">
        <v>0.48</v>
      </c>
      <c r="U11" s="692">
        <v>0.47926979472140702</v>
      </c>
      <c r="V11" s="692">
        <v>0.16429809858438099</v>
      </c>
      <c r="W11" s="684">
        <v>57.152281470881697</v>
      </c>
    </row>
    <row r="12" spans="1:68" x14ac:dyDescent="0.3">
      <c r="B12" s="688">
        <v>6</v>
      </c>
      <c r="C12" s="693" t="s">
        <v>752</v>
      </c>
      <c r="D12" s="690">
        <v>63986.349999999991</v>
      </c>
      <c r="E12" s="684">
        <v>63986.349999999991</v>
      </c>
      <c r="F12" s="684">
        <v>0</v>
      </c>
      <c r="G12" s="684">
        <v>0</v>
      </c>
      <c r="H12" s="684"/>
      <c r="I12" s="684">
        <v>64808.180000000015</v>
      </c>
      <c r="J12" s="684">
        <v>64808.180000000015</v>
      </c>
      <c r="K12" s="684">
        <v>0</v>
      </c>
      <c r="L12" s="684">
        <v>0</v>
      </c>
      <c r="M12" s="684"/>
      <c r="N12" s="684">
        <v>1640.7813804015566</v>
      </c>
      <c r="O12" s="684">
        <v>1640.7813804015566</v>
      </c>
      <c r="P12" s="684">
        <v>0</v>
      </c>
      <c r="Q12" s="684">
        <v>0</v>
      </c>
      <c r="R12" s="684"/>
      <c r="S12" s="691">
        <v>55</v>
      </c>
      <c r="T12" s="692">
        <v>0</v>
      </c>
      <c r="U12" s="692">
        <v>0</v>
      </c>
      <c r="V12" s="692">
        <v>0.23330059301710401</v>
      </c>
      <c r="W12" s="684">
        <v>37.151622650768402</v>
      </c>
    </row>
    <row r="13" spans="1:68" x14ac:dyDescent="0.3">
      <c r="B13" s="688">
        <v>7</v>
      </c>
      <c r="C13" s="693" t="s">
        <v>753</v>
      </c>
      <c r="D13" s="690">
        <v>1040958.7700000001</v>
      </c>
      <c r="E13" s="684">
        <v>1040958.7700000001</v>
      </c>
      <c r="F13" s="684">
        <v>0</v>
      </c>
      <c r="G13" s="684">
        <v>0</v>
      </c>
      <c r="H13" s="684"/>
      <c r="I13" s="684">
        <v>1050479.08</v>
      </c>
      <c r="J13" s="684">
        <v>1050479.08</v>
      </c>
      <c r="K13" s="684">
        <v>0</v>
      </c>
      <c r="L13" s="684">
        <v>0</v>
      </c>
      <c r="M13" s="684"/>
      <c r="N13" s="684">
        <v>53669.102221461995</v>
      </c>
      <c r="O13" s="684">
        <v>53669.102221461995</v>
      </c>
      <c r="P13" s="684">
        <v>0</v>
      </c>
      <c r="Q13" s="684">
        <v>0</v>
      </c>
      <c r="R13" s="684"/>
      <c r="S13" s="691">
        <v>15</v>
      </c>
      <c r="T13" s="692">
        <v>0.16315485982565101</v>
      </c>
      <c r="U13" s="692">
        <v>0.178258099709418</v>
      </c>
      <c r="V13" s="692">
        <v>0.139296896583885</v>
      </c>
      <c r="W13" s="684">
        <v>124.266083200393</v>
      </c>
    </row>
    <row r="14" spans="1:68" s="694" customFormat="1" x14ac:dyDescent="0.3">
      <c r="A14" s="686"/>
      <c r="B14" s="701">
        <v>7.1</v>
      </c>
      <c r="C14" s="702" t="s">
        <v>754</v>
      </c>
      <c r="D14" s="690">
        <v>711774.87000000011</v>
      </c>
      <c r="E14" s="684">
        <v>711774.87000000011</v>
      </c>
      <c r="F14" s="684">
        <v>0</v>
      </c>
      <c r="G14" s="684">
        <v>0</v>
      </c>
      <c r="H14" s="684"/>
      <c r="I14" s="684">
        <v>715528.13</v>
      </c>
      <c r="J14" s="684">
        <v>715528.13</v>
      </c>
      <c r="K14" s="684">
        <v>0</v>
      </c>
      <c r="L14" s="684">
        <v>0</v>
      </c>
      <c r="M14" s="684"/>
      <c r="N14" s="684">
        <v>36556.418002442799</v>
      </c>
      <c r="O14" s="684">
        <v>36556.418002442799</v>
      </c>
      <c r="P14" s="684">
        <v>0</v>
      </c>
      <c r="Q14" s="684">
        <v>0</v>
      </c>
      <c r="R14" s="684"/>
      <c r="S14" s="691">
        <v>7</v>
      </c>
      <c r="T14" s="692">
        <v>0.16</v>
      </c>
      <c r="U14" s="692">
        <v>0.17299999999999999</v>
      </c>
      <c r="V14" s="692">
        <v>0.13888053247471599</v>
      </c>
      <c r="W14" s="684">
        <v>123.516517769641</v>
      </c>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c r="AT14" s="686"/>
      <c r="AU14" s="686"/>
      <c r="AV14" s="686"/>
      <c r="AW14" s="686"/>
      <c r="AX14" s="686"/>
      <c r="AY14" s="686"/>
      <c r="AZ14" s="686"/>
      <c r="BA14" s="686"/>
      <c r="BB14" s="686"/>
      <c r="BC14" s="686"/>
      <c r="BD14" s="686"/>
      <c r="BE14" s="686"/>
      <c r="BF14" s="686"/>
      <c r="BG14" s="686"/>
      <c r="BH14" s="686"/>
      <c r="BI14" s="686"/>
      <c r="BJ14" s="686"/>
      <c r="BK14" s="686"/>
      <c r="BL14" s="686"/>
      <c r="BM14" s="686"/>
      <c r="BN14" s="686"/>
      <c r="BO14" s="686"/>
      <c r="BP14" s="686"/>
    </row>
    <row r="15" spans="1:68" s="694" customFormat="1" ht="24" x14ac:dyDescent="0.3">
      <c r="A15" s="686"/>
      <c r="B15" s="701">
        <v>7.2</v>
      </c>
      <c r="C15" s="702" t="s">
        <v>755</v>
      </c>
      <c r="D15" s="690">
        <v>280446.40000000002</v>
      </c>
      <c r="E15" s="684">
        <v>280446.40000000002</v>
      </c>
      <c r="F15" s="684">
        <v>0</v>
      </c>
      <c r="G15" s="684">
        <v>0</v>
      </c>
      <c r="H15" s="684"/>
      <c r="I15" s="684">
        <v>284509.44999999995</v>
      </c>
      <c r="J15" s="684">
        <v>284509.44999999995</v>
      </c>
      <c r="K15" s="684">
        <v>0</v>
      </c>
      <c r="L15" s="684">
        <v>0</v>
      </c>
      <c r="M15" s="684"/>
      <c r="N15" s="684">
        <v>14535.621932634707</v>
      </c>
      <c r="O15" s="684">
        <v>14535.621932634707</v>
      </c>
      <c r="P15" s="684">
        <v>0</v>
      </c>
      <c r="Q15" s="684">
        <v>0</v>
      </c>
      <c r="R15" s="684"/>
      <c r="S15" s="691">
        <v>2</v>
      </c>
      <c r="T15" s="692">
        <v>0</v>
      </c>
      <c r="U15" s="692">
        <v>0</v>
      </c>
      <c r="V15" s="692">
        <v>0.13554461578417801</v>
      </c>
      <c r="W15" s="684">
        <v>120.86246209785</v>
      </c>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c r="AT15" s="686"/>
      <c r="AU15" s="686"/>
      <c r="AV15" s="686"/>
      <c r="AW15" s="686"/>
      <c r="AX15" s="686"/>
      <c r="AY15" s="686"/>
      <c r="AZ15" s="686"/>
      <c r="BA15" s="686"/>
      <c r="BB15" s="686"/>
      <c r="BC15" s="686"/>
      <c r="BD15" s="686"/>
      <c r="BE15" s="686"/>
      <c r="BF15" s="686"/>
      <c r="BG15" s="686"/>
      <c r="BH15" s="686"/>
      <c r="BI15" s="686"/>
      <c r="BJ15" s="686"/>
      <c r="BK15" s="686"/>
      <c r="BL15" s="686"/>
      <c r="BM15" s="686"/>
      <c r="BN15" s="686"/>
      <c r="BO15" s="686"/>
      <c r="BP15" s="686"/>
    </row>
    <row r="16" spans="1:68" s="694" customFormat="1" x14ac:dyDescent="0.3">
      <c r="A16" s="686"/>
      <c r="B16" s="701">
        <v>7.3</v>
      </c>
      <c r="C16" s="702" t="s">
        <v>756</v>
      </c>
      <c r="D16" s="690">
        <v>48737.5</v>
      </c>
      <c r="E16" s="684">
        <v>48737.5</v>
      </c>
      <c r="F16" s="684">
        <v>0</v>
      </c>
      <c r="G16" s="684">
        <v>0</v>
      </c>
      <c r="H16" s="684"/>
      <c r="I16" s="684">
        <v>50441.5</v>
      </c>
      <c r="J16" s="684">
        <v>50441.5</v>
      </c>
      <c r="K16" s="684">
        <v>0</v>
      </c>
      <c r="L16" s="684">
        <v>0</v>
      </c>
      <c r="M16" s="684"/>
      <c r="N16" s="684">
        <v>2577.0622863844897</v>
      </c>
      <c r="O16" s="684">
        <v>2577.0622863844897</v>
      </c>
      <c r="P16" s="684">
        <v>0</v>
      </c>
      <c r="Q16" s="684">
        <v>0</v>
      </c>
      <c r="R16" s="684"/>
      <c r="S16" s="691">
        <v>6</v>
      </c>
      <c r="T16" s="692">
        <v>0.17499999999999999</v>
      </c>
      <c r="U16" s="692">
        <v>0.19800000000000001</v>
      </c>
      <c r="V16" s="692">
        <v>0.141181874023114</v>
      </c>
      <c r="W16" s="684">
        <v>126.950943511972</v>
      </c>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c r="AT16" s="686"/>
      <c r="AU16" s="686"/>
      <c r="AV16" s="686"/>
      <c r="AW16" s="686"/>
      <c r="AX16" s="686"/>
      <c r="AY16" s="686"/>
      <c r="AZ16" s="686"/>
      <c r="BA16" s="686"/>
      <c r="BB16" s="686"/>
      <c r="BC16" s="686"/>
      <c r="BD16" s="686"/>
      <c r="BE16" s="686"/>
      <c r="BF16" s="686"/>
      <c r="BG16" s="686"/>
      <c r="BH16" s="686"/>
      <c r="BI16" s="686"/>
      <c r="BJ16" s="686"/>
      <c r="BK16" s="686"/>
      <c r="BL16" s="686"/>
      <c r="BM16" s="686"/>
      <c r="BN16" s="686"/>
      <c r="BO16" s="686"/>
      <c r="BP16" s="686"/>
    </row>
    <row r="17" spans="2:23" x14ac:dyDescent="0.3">
      <c r="B17" s="688">
        <v>8</v>
      </c>
      <c r="C17" s="693" t="s">
        <v>757</v>
      </c>
      <c r="D17" s="690">
        <v>0</v>
      </c>
      <c r="E17" s="684">
        <v>0</v>
      </c>
      <c r="F17" s="684">
        <v>0</v>
      </c>
      <c r="G17" s="684">
        <v>0</v>
      </c>
      <c r="H17" s="684"/>
      <c r="I17" s="684">
        <v>0</v>
      </c>
      <c r="J17" s="684">
        <v>0</v>
      </c>
      <c r="K17" s="684">
        <v>0</v>
      </c>
      <c r="L17" s="684">
        <v>0</v>
      </c>
      <c r="M17" s="684"/>
      <c r="N17" s="684">
        <v>0</v>
      </c>
      <c r="O17" s="684">
        <v>0</v>
      </c>
      <c r="P17" s="684">
        <v>0</v>
      </c>
      <c r="Q17" s="684">
        <v>0</v>
      </c>
      <c r="R17" s="684"/>
      <c r="S17" s="691">
        <v>0</v>
      </c>
      <c r="T17" s="692">
        <v>0</v>
      </c>
      <c r="U17" s="692">
        <v>0</v>
      </c>
      <c r="V17" s="692">
        <v>0</v>
      </c>
      <c r="W17" s="684">
        <v>0</v>
      </c>
    </row>
    <row r="18" spans="2:23" x14ac:dyDescent="0.3">
      <c r="B18" s="695">
        <v>9</v>
      </c>
      <c r="C18" s="696" t="s">
        <v>758</v>
      </c>
      <c r="D18" s="690">
        <v>0</v>
      </c>
      <c r="E18" s="684">
        <v>0</v>
      </c>
      <c r="F18" s="684">
        <v>0</v>
      </c>
      <c r="G18" s="684">
        <v>0</v>
      </c>
      <c r="H18" s="697"/>
      <c r="I18" s="684">
        <v>0</v>
      </c>
      <c r="J18" s="684">
        <v>0</v>
      </c>
      <c r="K18" s="684">
        <v>0</v>
      </c>
      <c r="L18" s="684">
        <v>0</v>
      </c>
      <c r="M18" s="697"/>
      <c r="N18" s="684">
        <v>0</v>
      </c>
      <c r="O18" s="684">
        <v>0</v>
      </c>
      <c r="P18" s="684">
        <v>0</v>
      </c>
      <c r="Q18" s="684">
        <v>0</v>
      </c>
      <c r="R18" s="697"/>
      <c r="S18" s="698">
        <v>0</v>
      </c>
      <c r="T18" s="699">
        <v>0</v>
      </c>
      <c r="U18" s="699">
        <v>0</v>
      </c>
      <c r="V18" s="699">
        <v>0</v>
      </c>
      <c r="W18" s="697">
        <v>0</v>
      </c>
    </row>
    <row r="19" spans="2:23" x14ac:dyDescent="0.3">
      <c r="B19" s="688">
        <v>10</v>
      </c>
      <c r="C19" s="700" t="s">
        <v>759</v>
      </c>
      <c r="D19" s="690">
        <v>11053160.460474024</v>
      </c>
      <c r="E19" s="684">
        <v>10599401.630474024</v>
      </c>
      <c r="F19" s="684">
        <v>225907.02000000002</v>
      </c>
      <c r="G19" s="684">
        <v>227851.81000000003</v>
      </c>
      <c r="H19" s="684"/>
      <c r="I19" s="684">
        <v>11355578.352002144</v>
      </c>
      <c r="J19" s="684">
        <v>10886993.832002144</v>
      </c>
      <c r="K19" s="684">
        <v>237366.31999999998</v>
      </c>
      <c r="L19" s="684">
        <v>231218.19999999998</v>
      </c>
      <c r="M19" s="684"/>
      <c r="N19" s="684">
        <v>509082.4078014213</v>
      </c>
      <c r="O19" s="684">
        <v>341434.98067244794</v>
      </c>
      <c r="P19" s="684">
        <v>45173.876003255595</v>
      </c>
      <c r="Q19" s="684">
        <v>122473.55112571776</v>
      </c>
      <c r="R19" s="684"/>
      <c r="S19" s="691">
        <v>930</v>
      </c>
      <c r="T19" s="692">
        <v>0.20155430583137901</v>
      </c>
      <c r="U19" s="692">
        <v>0.232513272168407</v>
      </c>
      <c r="V19" s="692">
        <v>0.16976693602626</v>
      </c>
      <c r="W19" s="684">
        <v>60.393081550813399</v>
      </c>
    </row>
    <row r="20" spans="2:23" ht="24" x14ac:dyDescent="0.3">
      <c r="B20" s="701">
        <v>10.1</v>
      </c>
      <c r="C20" s="702" t="s">
        <v>760</v>
      </c>
      <c r="D20" s="691"/>
      <c r="E20" s="684"/>
      <c r="F20" s="684"/>
      <c r="G20" s="684"/>
      <c r="H20" s="684"/>
      <c r="I20" s="684">
        <f t="shared" ref="I20" si="0">SUM(J20:M20)</f>
        <v>0</v>
      </c>
      <c r="J20" s="684"/>
      <c r="K20" s="684"/>
      <c r="L20" s="684"/>
      <c r="M20" s="684"/>
      <c r="N20" s="684">
        <f t="shared" ref="N20" si="1">O20+P20+Q20</f>
        <v>0</v>
      </c>
      <c r="O20" s="684"/>
      <c r="P20" s="684"/>
      <c r="Q20" s="684"/>
      <c r="R20" s="684"/>
      <c r="S20" s="691"/>
      <c r="T20" s="691"/>
      <c r="U20" s="691"/>
      <c r="V20" s="691"/>
      <c r="W20" s="691"/>
    </row>
    <row r="22" spans="2:23" x14ac:dyDescent="0.3">
      <c r="C22" s="703"/>
    </row>
    <row r="23" spans="2:23" s="226" customFormat="1" x14ac:dyDescent="0.3">
      <c r="D23" s="243"/>
      <c r="E23" s="243"/>
      <c r="F23" s="243">
        <f t="shared" ref="F23:S23" si="2">SUM(F7:F18)-F19-F14-F15-F16</f>
        <v>0</v>
      </c>
      <c r="G23" s="243">
        <f t="shared" si="2"/>
        <v>0</v>
      </c>
      <c r="H23" s="243"/>
      <c r="I23" s="243">
        <f>I19-'22. Quality'!C14</f>
        <v>0</v>
      </c>
      <c r="J23" s="243">
        <f>J19-'22. Quality'!D14</f>
        <v>0</v>
      </c>
      <c r="K23" s="243">
        <f>K19-'22. Quality'!H14</f>
        <v>0</v>
      </c>
      <c r="L23" s="243">
        <f>L19-'22. Quality'!L14</f>
        <v>0</v>
      </c>
      <c r="M23" s="243"/>
      <c r="N23" s="243">
        <f>N19-'18. Assets by Exposure classes'!E14</f>
        <v>0</v>
      </c>
      <c r="O23" s="243">
        <f t="shared" si="2"/>
        <v>6.8212102632969618E-12</v>
      </c>
      <c r="P23" s="243">
        <f t="shared" si="2"/>
        <v>0</v>
      </c>
      <c r="Q23" s="243">
        <f t="shared" si="2"/>
        <v>0</v>
      </c>
      <c r="R23" s="243">
        <f t="shared" si="2"/>
        <v>0</v>
      </c>
      <c r="S23" s="243">
        <f t="shared" si="2"/>
        <v>0</v>
      </c>
      <c r="T23" s="704"/>
      <c r="U23" s="704"/>
      <c r="V23" s="705"/>
      <c r="W23" s="706"/>
    </row>
    <row r="24" spans="2:23" x14ac:dyDescent="0.3">
      <c r="D24" s="707"/>
    </row>
    <row r="25" spans="2:23" x14ac:dyDescent="0.3">
      <c r="E25" s="707"/>
    </row>
    <row r="26" spans="2:23" x14ac:dyDescent="0.3">
      <c r="I26" s="707"/>
    </row>
    <row r="27" spans="2:23" x14ac:dyDescent="0.3">
      <c r="I27" s="707"/>
    </row>
  </sheetData>
  <mergeCells count="9">
    <mergeCell ref="U5:U6"/>
    <mergeCell ref="V5:V6"/>
    <mergeCell ref="W5:W6"/>
    <mergeCell ref="B5:C6"/>
    <mergeCell ref="D5:H5"/>
    <mergeCell ref="I5:M5"/>
    <mergeCell ref="N5:R5"/>
    <mergeCell ref="S5:S6"/>
    <mergeCell ref="T5:T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354A-1AB8-4425-8A5A-8A1FA460F7C3}">
  <dimension ref="A1:J69"/>
  <sheetViews>
    <sheetView topLeftCell="A49" zoomScaleNormal="100" workbookViewId="0">
      <selection activeCell="H69" sqref="C7:H69"/>
    </sheetView>
  </sheetViews>
  <sheetFormatPr defaultRowHeight="14.4" x14ac:dyDescent="0.3"/>
  <cols>
    <col min="1" max="1" width="9.109375" style="144"/>
    <col min="2" max="2" width="69.33203125" style="145" customWidth="1"/>
    <col min="3" max="3" width="15.6640625" style="43" customWidth="1"/>
    <col min="4" max="4" width="14.44140625" style="43" customWidth="1"/>
    <col min="5" max="5" width="13.109375" style="43" customWidth="1"/>
    <col min="6" max="6" width="15.109375" style="43" customWidth="1"/>
    <col min="7" max="7" width="13.44140625" style="43" customWidth="1"/>
    <col min="8" max="8" width="13.109375" style="43" customWidth="1"/>
    <col min="9" max="9" width="3" customWidth="1"/>
    <col min="10" max="10" width="13.109375" bestFit="1" customWidth="1"/>
  </cols>
  <sheetData>
    <row r="1" spans="1:8" x14ac:dyDescent="0.3">
      <c r="A1" s="21" t="s">
        <v>41</v>
      </c>
      <c r="B1" s="22" t="str">
        <f>Info!C2</f>
        <v>სს სილქ ბანკი</v>
      </c>
      <c r="C1" s="111"/>
      <c r="D1" s="112"/>
      <c r="E1" s="112"/>
      <c r="F1" s="112"/>
      <c r="G1" s="112"/>
    </row>
    <row r="2" spans="1:8" x14ac:dyDescent="0.3">
      <c r="A2" s="21" t="s">
        <v>42</v>
      </c>
      <c r="B2" s="24">
        <f>'1. key ratios'!B2</f>
        <v>45199</v>
      </c>
      <c r="C2" s="111"/>
      <c r="D2" s="112"/>
      <c r="E2" s="112"/>
      <c r="F2" s="112"/>
      <c r="G2" s="112"/>
    </row>
    <row r="3" spans="1:8" ht="15" thickBot="1" x14ac:dyDescent="0.35">
      <c r="A3" s="21"/>
      <c r="B3" s="23"/>
      <c r="C3" s="111"/>
      <c r="D3" s="112"/>
      <c r="E3" s="112"/>
      <c r="F3" s="112"/>
      <c r="G3" s="112"/>
    </row>
    <row r="4" spans="1:8" ht="40.5" customHeight="1" x14ac:dyDescent="0.3">
      <c r="A4" s="821" t="s">
        <v>47</v>
      </c>
      <c r="B4" s="822" t="s">
        <v>98</v>
      </c>
      <c r="C4" s="824" t="s">
        <v>99</v>
      </c>
      <c r="D4" s="824"/>
      <c r="E4" s="824"/>
      <c r="F4" s="824" t="s">
        <v>100</v>
      </c>
      <c r="G4" s="824"/>
      <c r="H4" s="825"/>
    </row>
    <row r="5" spans="1:8" ht="21" customHeight="1" x14ac:dyDescent="0.3">
      <c r="A5" s="821"/>
      <c r="B5" s="823"/>
      <c r="C5" s="114" t="s">
        <v>101</v>
      </c>
      <c r="D5" s="114" t="s">
        <v>102</v>
      </c>
      <c r="E5" s="114" t="s">
        <v>103</v>
      </c>
      <c r="F5" s="114" t="s">
        <v>101</v>
      </c>
      <c r="G5" s="114" t="s">
        <v>102</v>
      </c>
      <c r="H5" s="114" t="s">
        <v>103</v>
      </c>
    </row>
    <row r="6" spans="1:8" ht="26.4" customHeight="1" x14ac:dyDescent="0.3">
      <c r="A6" s="821"/>
      <c r="B6" s="115" t="s">
        <v>104</v>
      </c>
      <c r="C6" s="826"/>
      <c r="D6" s="827"/>
      <c r="E6" s="827"/>
      <c r="F6" s="827"/>
      <c r="G6" s="827"/>
      <c r="H6" s="828"/>
    </row>
    <row r="7" spans="1:8" ht="23.1" customHeight="1" x14ac:dyDescent="0.3">
      <c r="A7" s="116">
        <v>1</v>
      </c>
      <c r="B7" s="117" t="s">
        <v>105</v>
      </c>
      <c r="C7" s="118">
        <f>SUM(C8:C10)</f>
        <v>57529054.210000023</v>
      </c>
      <c r="D7" s="118">
        <f>SUM(D8:D10)</f>
        <v>10044099.790000031</v>
      </c>
      <c r="E7" s="119">
        <f>C7+D7</f>
        <v>67573154.00000006</v>
      </c>
      <c r="F7" s="118">
        <f>SUM(F8:F10)</f>
        <v>2786719.6399999913</v>
      </c>
      <c r="G7" s="118">
        <f>SUM(G8:G10)</f>
        <v>8115607.1800000621</v>
      </c>
      <c r="H7" s="119">
        <f>F7+G7</f>
        <v>10902326.820000052</v>
      </c>
    </row>
    <row r="8" spans="1:8" x14ac:dyDescent="0.3">
      <c r="A8" s="116">
        <v>1.1000000000000001</v>
      </c>
      <c r="B8" s="120" t="s">
        <v>106</v>
      </c>
      <c r="C8" s="118">
        <v>804965.02999999002</v>
      </c>
      <c r="D8" s="118">
        <v>2036143.1500000025</v>
      </c>
      <c r="E8" s="119">
        <f t="shared" ref="E8:E36" si="0">C8+D8</f>
        <v>2841108.1799999923</v>
      </c>
      <c r="F8" s="118">
        <v>876776.05000000051</v>
      </c>
      <c r="G8" s="118">
        <v>1569498.4200000041</v>
      </c>
      <c r="H8" s="119">
        <f t="shared" ref="H8:H36" si="1">F8+G8</f>
        <v>2446274.4700000044</v>
      </c>
    </row>
    <row r="9" spans="1:8" x14ac:dyDescent="0.3">
      <c r="A9" s="116">
        <v>1.2</v>
      </c>
      <c r="B9" s="120" t="s">
        <v>107</v>
      </c>
      <c r="C9" s="118">
        <v>1211989.7100000381</v>
      </c>
      <c r="D9" s="118">
        <v>5907688.7400000021</v>
      </c>
      <c r="E9" s="119">
        <f t="shared" si="0"/>
        <v>7119678.4500000402</v>
      </c>
      <c r="F9" s="118">
        <v>584486.75999999046</v>
      </c>
      <c r="G9" s="118">
        <v>1310387.8600000008</v>
      </c>
      <c r="H9" s="119">
        <f t="shared" si="1"/>
        <v>1894874.6199999913</v>
      </c>
    </row>
    <row r="10" spans="1:8" x14ac:dyDescent="0.3">
      <c r="A10" s="116">
        <v>1.3</v>
      </c>
      <c r="B10" s="120" t="s">
        <v>108</v>
      </c>
      <c r="C10" s="121">
        <v>55512099.469999999</v>
      </c>
      <c r="D10" s="121">
        <v>2100267.900000026</v>
      </c>
      <c r="E10" s="119">
        <f t="shared" si="0"/>
        <v>57612367.370000027</v>
      </c>
      <c r="F10" s="118">
        <v>1325456.83</v>
      </c>
      <c r="G10" s="118">
        <v>5235720.9000000572</v>
      </c>
      <c r="H10" s="119">
        <f t="shared" si="1"/>
        <v>6561177.7300000573</v>
      </c>
    </row>
    <row r="11" spans="1:8" x14ac:dyDescent="0.3">
      <c r="A11" s="116">
        <v>2</v>
      </c>
      <c r="B11" s="122" t="s">
        <v>109</v>
      </c>
      <c r="C11" s="118">
        <f>C12</f>
        <v>0</v>
      </c>
      <c r="D11" s="118">
        <f>D12</f>
        <v>25490</v>
      </c>
      <c r="E11" s="119">
        <f t="shared" si="0"/>
        <v>25490</v>
      </c>
      <c r="F11" s="118">
        <f>F12</f>
        <v>20614.614208419935</v>
      </c>
      <c r="G11" s="118">
        <f>G12</f>
        <v>13949.810000000056</v>
      </c>
      <c r="H11" s="119">
        <f t="shared" si="1"/>
        <v>34564.424208419994</v>
      </c>
    </row>
    <row r="12" spans="1:8" x14ac:dyDescent="0.3">
      <c r="A12" s="116">
        <v>2.1</v>
      </c>
      <c r="B12" s="123" t="s">
        <v>110</v>
      </c>
      <c r="C12" s="118">
        <v>0</v>
      </c>
      <c r="D12" s="118">
        <v>25490</v>
      </c>
      <c r="E12" s="119">
        <f t="shared" si="0"/>
        <v>25490</v>
      </c>
      <c r="F12" s="118">
        <v>20614.614208419935</v>
      </c>
      <c r="G12" s="118">
        <v>13949.810000000056</v>
      </c>
      <c r="H12" s="119">
        <f t="shared" si="1"/>
        <v>34564.424208419994</v>
      </c>
    </row>
    <row r="13" spans="1:8" ht="26.4" customHeight="1" x14ac:dyDescent="0.3">
      <c r="A13" s="116">
        <v>3</v>
      </c>
      <c r="B13" s="124" t="s">
        <v>111</v>
      </c>
      <c r="C13" s="118"/>
      <c r="D13" s="118"/>
      <c r="E13" s="119">
        <f t="shared" si="0"/>
        <v>0</v>
      </c>
      <c r="F13" s="118"/>
      <c r="G13" s="118"/>
      <c r="H13" s="119">
        <f t="shared" si="1"/>
        <v>0</v>
      </c>
    </row>
    <row r="14" spans="1:8" ht="26.4" customHeight="1" x14ac:dyDescent="0.3">
      <c r="A14" s="116">
        <v>4</v>
      </c>
      <c r="B14" s="125" t="s">
        <v>112</v>
      </c>
      <c r="C14" s="118"/>
      <c r="D14" s="118"/>
      <c r="E14" s="119">
        <f t="shared" si="0"/>
        <v>0</v>
      </c>
      <c r="F14" s="118"/>
      <c r="G14" s="118"/>
      <c r="H14" s="119">
        <f t="shared" si="1"/>
        <v>0</v>
      </c>
    </row>
    <row r="15" spans="1:8" ht="24.6" customHeight="1" x14ac:dyDescent="0.3">
      <c r="A15" s="116">
        <v>5</v>
      </c>
      <c r="B15" s="125" t="s">
        <v>113</v>
      </c>
      <c r="C15" s="126">
        <f>SUM(C16:C18)</f>
        <v>20000</v>
      </c>
      <c r="D15" s="126">
        <f>SUM(D16:D18)</f>
        <v>0</v>
      </c>
      <c r="E15" s="127">
        <f t="shared" si="0"/>
        <v>20000</v>
      </c>
      <c r="F15" s="126">
        <f>SUM(F16:F18)</f>
        <v>20000</v>
      </c>
      <c r="G15" s="126">
        <f>SUM(G16:G18)</f>
        <v>0</v>
      </c>
      <c r="H15" s="127">
        <f t="shared" si="1"/>
        <v>20000</v>
      </c>
    </row>
    <row r="16" spans="1:8" x14ac:dyDescent="0.3">
      <c r="A16" s="116">
        <v>5.0999999999999996</v>
      </c>
      <c r="B16" s="128" t="s">
        <v>114</v>
      </c>
      <c r="C16" s="118">
        <v>20000</v>
      </c>
      <c r="D16" s="118"/>
      <c r="E16" s="119">
        <f t="shared" si="0"/>
        <v>20000</v>
      </c>
      <c r="F16" s="118">
        <v>20000</v>
      </c>
      <c r="G16" s="118">
        <v>0</v>
      </c>
      <c r="H16" s="119">
        <f t="shared" si="1"/>
        <v>20000</v>
      </c>
    </row>
    <row r="17" spans="1:8" x14ac:dyDescent="0.3">
      <c r="A17" s="116">
        <v>5.2</v>
      </c>
      <c r="B17" s="128" t="s">
        <v>115</v>
      </c>
      <c r="C17" s="118"/>
      <c r="D17" s="118"/>
      <c r="E17" s="119">
        <f t="shared" si="0"/>
        <v>0</v>
      </c>
      <c r="F17" s="118"/>
      <c r="G17" s="118"/>
      <c r="H17" s="119">
        <f t="shared" si="1"/>
        <v>0</v>
      </c>
    </row>
    <row r="18" spans="1:8" x14ac:dyDescent="0.3">
      <c r="A18" s="116">
        <v>5.3</v>
      </c>
      <c r="B18" s="128" t="s">
        <v>116</v>
      </c>
      <c r="C18" s="118"/>
      <c r="D18" s="118"/>
      <c r="E18" s="119">
        <f t="shared" si="0"/>
        <v>0</v>
      </c>
      <c r="F18" s="118"/>
      <c r="G18" s="118"/>
      <c r="H18" s="119">
        <f t="shared" si="1"/>
        <v>0</v>
      </c>
    </row>
    <row r="19" spans="1:8" x14ac:dyDescent="0.3">
      <c r="A19" s="116">
        <v>6</v>
      </c>
      <c r="B19" s="124" t="s">
        <v>117</v>
      </c>
      <c r="C19" s="118">
        <f>SUM(C20:C21)</f>
        <v>41954575.120476812</v>
      </c>
      <c r="D19" s="118">
        <f>SUM(D20:D21)</f>
        <v>13489512.857592899</v>
      </c>
      <c r="E19" s="119">
        <f t="shared" si="0"/>
        <v>55444087.978069708</v>
      </c>
      <c r="F19" s="118">
        <f>SUM(F20:F21)</f>
        <v>49518846.01731959</v>
      </c>
      <c r="G19" s="118">
        <f>SUM(G20:G21)</f>
        <v>7447101.420817798</v>
      </c>
      <c r="H19" s="119">
        <f t="shared" si="1"/>
        <v>56965947.43813739</v>
      </c>
    </row>
    <row r="20" spans="1:8" x14ac:dyDescent="0.3">
      <c r="A20" s="116">
        <v>6.1</v>
      </c>
      <c r="B20" s="128" t="s">
        <v>115</v>
      </c>
      <c r="C20" s="118">
        <v>24831249.678959433</v>
      </c>
      <c r="D20" s="118"/>
      <c r="E20" s="119">
        <f t="shared" si="0"/>
        <v>24831249.678959433</v>
      </c>
      <c r="F20" s="118">
        <v>34505431.531999178</v>
      </c>
      <c r="G20" s="118"/>
      <c r="H20" s="119">
        <f t="shared" si="1"/>
        <v>34505431.531999178</v>
      </c>
    </row>
    <row r="21" spans="1:8" x14ac:dyDescent="0.3">
      <c r="A21" s="116">
        <v>6.2</v>
      </c>
      <c r="B21" s="128" t="s">
        <v>116</v>
      </c>
      <c r="C21" s="118">
        <v>17123325.441517383</v>
      </c>
      <c r="D21" s="118">
        <v>13489512.857592899</v>
      </c>
      <c r="E21" s="119">
        <f t="shared" si="0"/>
        <v>30612838.299110282</v>
      </c>
      <c r="F21" s="121">
        <v>15013414.485320415</v>
      </c>
      <c r="G21" s="121">
        <v>7447101.420817798</v>
      </c>
      <c r="H21" s="119">
        <f t="shared" si="1"/>
        <v>22460515.906138211</v>
      </c>
    </row>
    <row r="22" spans="1:8" x14ac:dyDescent="0.3">
      <c r="A22" s="116">
        <v>7</v>
      </c>
      <c r="B22" s="129" t="s">
        <v>118</v>
      </c>
      <c r="C22" s="118"/>
      <c r="D22" s="118"/>
      <c r="E22" s="119">
        <f t="shared" si="0"/>
        <v>0</v>
      </c>
      <c r="F22" s="118"/>
      <c r="G22" s="118"/>
      <c r="H22" s="119">
        <f t="shared" si="1"/>
        <v>0</v>
      </c>
    </row>
    <row r="23" spans="1:8" x14ac:dyDescent="0.3">
      <c r="A23" s="116">
        <v>8</v>
      </c>
      <c r="B23" s="130" t="s">
        <v>119</v>
      </c>
      <c r="C23" s="118">
        <v>3351211.9415073614</v>
      </c>
      <c r="D23" s="118">
        <v>0</v>
      </c>
      <c r="E23" s="119">
        <f t="shared" si="0"/>
        <v>3351211.9415073614</v>
      </c>
      <c r="F23" s="118">
        <v>3512670.3689119108</v>
      </c>
      <c r="G23" s="118"/>
      <c r="H23" s="119">
        <f t="shared" si="1"/>
        <v>3512670.3689119108</v>
      </c>
    </row>
    <row r="24" spans="1:8" x14ac:dyDescent="0.3">
      <c r="A24" s="116">
        <v>9</v>
      </c>
      <c r="B24" s="125" t="s">
        <v>120</v>
      </c>
      <c r="C24" s="118">
        <f>SUM(C25:C26)</f>
        <v>20331789.659999996</v>
      </c>
      <c r="D24" s="118">
        <f>SUM(D25:D26)</f>
        <v>0</v>
      </c>
      <c r="E24" s="119">
        <f>C24+D24</f>
        <v>20331789.659999996</v>
      </c>
      <c r="F24" s="118">
        <f>SUM(F25:F26)</f>
        <v>20621287.500000004</v>
      </c>
      <c r="G24" s="118">
        <f>SUM(G25:G26)</f>
        <v>0</v>
      </c>
      <c r="H24" s="119">
        <f t="shared" si="1"/>
        <v>20621287.500000004</v>
      </c>
    </row>
    <row r="25" spans="1:8" x14ac:dyDescent="0.3">
      <c r="A25" s="116">
        <v>9.1</v>
      </c>
      <c r="B25" s="131" t="s">
        <v>121</v>
      </c>
      <c r="C25" s="118">
        <v>20331789.659999996</v>
      </c>
      <c r="D25" s="118"/>
      <c r="E25" s="119">
        <f>C25+D25</f>
        <v>20331789.659999996</v>
      </c>
      <c r="F25" s="118">
        <v>20621287.500000004</v>
      </c>
      <c r="G25" s="118"/>
      <c r="H25" s="119">
        <f t="shared" si="1"/>
        <v>20621287.500000004</v>
      </c>
    </row>
    <row r="26" spans="1:8" x14ac:dyDescent="0.3">
      <c r="A26" s="116">
        <v>9.1999999999999993</v>
      </c>
      <c r="B26" s="131" t="s">
        <v>122</v>
      </c>
      <c r="C26" s="118"/>
      <c r="D26" s="118"/>
      <c r="E26" s="119">
        <f>C26+D26</f>
        <v>0</v>
      </c>
      <c r="F26" s="118"/>
      <c r="G26" s="118"/>
      <c r="H26" s="119">
        <f t="shared" si="1"/>
        <v>0</v>
      </c>
    </row>
    <row r="27" spans="1:8" x14ac:dyDescent="0.3">
      <c r="A27" s="116">
        <v>10</v>
      </c>
      <c r="B27" s="125" t="s">
        <v>123</v>
      </c>
      <c r="C27" s="118">
        <f>SUM(C28:C29)</f>
        <v>1084649.3200000005</v>
      </c>
      <c r="D27" s="118">
        <f>SUM(D28:D29)</f>
        <v>0</v>
      </c>
      <c r="E27" s="119">
        <f t="shared" si="0"/>
        <v>1084649.3200000005</v>
      </c>
      <c r="F27" s="118">
        <v>299386.8800000003</v>
      </c>
      <c r="G27" s="118">
        <f>SUM(G28:G29)</f>
        <v>0</v>
      </c>
      <c r="H27" s="119">
        <f t="shared" si="1"/>
        <v>299386.8800000003</v>
      </c>
    </row>
    <row r="28" spans="1:8" x14ac:dyDescent="0.3">
      <c r="A28" s="116">
        <v>10.1</v>
      </c>
      <c r="B28" s="131" t="s">
        <v>124</v>
      </c>
      <c r="C28" s="118"/>
      <c r="D28" s="118"/>
      <c r="E28" s="119">
        <f t="shared" si="0"/>
        <v>0</v>
      </c>
      <c r="F28" s="118"/>
      <c r="G28" s="118"/>
      <c r="H28" s="119">
        <f t="shared" si="1"/>
        <v>0</v>
      </c>
    </row>
    <row r="29" spans="1:8" x14ac:dyDescent="0.3">
      <c r="A29" s="116">
        <v>10.199999999999999</v>
      </c>
      <c r="B29" s="131" t="s">
        <v>125</v>
      </c>
      <c r="C29" s="118">
        <v>1084649.3200000005</v>
      </c>
      <c r="D29" s="118"/>
      <c r="E29" s="119">
        <f t="shared" si="0"/>
        <v>1084649.3200000005</v>
      </c>
      <c r="F29" s="118">
        <v>299386.8800000003</v>
      </c>
      <c r="G29" s="118"/>
      <c r="H29" s="119">
        <f t="shared" si="1"/>
        <v>299386.8800000003</v>
      </c>
    </row>
    <row r="30" spans="1:8" x14ac:dyDescent="0.3">
      <c r="A30" s="116">
        <v>11</v>
      </c>
      <c r="B30" s="125" t="s">
        <v>126</v>
      </c>
      <c r="C30" s="118">
        <f>SUM(C31:C32)</f>
        <v>45248.5</v>
      </c>
      <c r="D30" s="118">
        <f>SUM(D31:D32)</f>
        <v>0</v>
      </c>
      <c r="E30" s="119">
        <f t="shared" si="0"/>
        <v>45248.5</v>
      </c>
      <c r="F30" s="118">
        <f>SUM(F31:F32)</f>
        <v>45248.5</v>
      </c>
      <c r="G30" s="118">
        <f>SUM(G31:G32)</f>
        <v>0</v>
      </c>
      <c r="H30" s="119">
        <f t="shared" si="1"/>
        <v>45248.5</v>
      </c>
    </row>
    <row r="31" spans="1:8" x14ac:dyDescent="0.3">
      <c r="A31" s="116">
        <v>11.1</v>
      </c>
      <c r="B31" s="131" t="s">
        <v>127</v>
      </c>
      <c r="C31" s="118">
        <v>45248.5</v>
      </c>
      <c r="D31" s="118"/>
      <c r="E31" s="119">
        <f t="shared" si="0"/>
        <v>45248.5</v>
      </c>
      <c r="F31" s="118">
        <v>45248.5</v>
      </c>
      <c r="G31" s="118">
        <v>0</v>
      </c>
      <c r="H31" s="119">
        <f t="shared" si="1"/>
        <v>45248.5</v>
      </c>
    </row>
    <row r="32" spans="1:8" x14ac:dyDescent="0.3">
      <c r="A32" s="116">
        <v>11.2</v>
      </c>
      <c r="B32" s="131" t="s">
        <v>128</v>
      </c>
      <c r="C32" s="118"/>
      <c r="D32" s="118"/>
      <c r="E32" s="119">
        <f t="shared" si="0"/>
        <v>0</v>
      </c>
      <c r="F32" s="118"/>
      <c r="G32" s="118"/>
      <c r="H32" s="119">
        <f t="shared" si="1"/>
        <v>0</v>
      </c>
    </row>
    <row r="33" spans="1:10" x14ac:dyDescent="0.3">
      <c r="A33" s="116">
        <v>13</v>
      </c>
      <c r="B33" s="125" t="s">
        <v>129</v>
      </c>
      <c r="C33" s="121">
        <v>2144642.96</v>
      </c>
      <c r="D33" s="121">
        <v>40914.04</v>
      </c>
      <c r="E33" s="119">
        <f t="shared" si="0"/>
        <v>2185557</v>
      </c>
      <c r="F33" s="118">
        <v>1609581.6099999999</v>
      </c>
      <c r="G33" s="118">
        <v>4832.7199999999993</v>
      </c>
      <c r="H33" s="119">
        <f t="shared" si="1"/>
        <v>1614414.3299999998</v>
      </c>
    </row>
    <row r="34" spans="1:10" x14ac:dyDescent="0.3">
      <c r="A34" s="116">
        <v>13.1</v>
      </c>
      <c r="B34" s="132" t="s">
        <v>130</v>
      </c>
      <c r="C34" s="118"/>
      <c r="D34" s="118"/>
      <c r="E34" s="119">
        <f t="shared" si="0"/>
        <v>0</v>
      </c>
      <c r="F34" s="118"/>
      <c r="G34" s="118"/>
      <c r="H34" s="119">
        <f t="shared" si="1"/>
        <v>0</v>
      </c>
    </row>
    <row r="35" spans="1:10" x14ac:dyDescent="0.3">
      <c r="A35" s="116">
        <v>13.2</v>
      </c>
      <c r="B35" s="132" t="s">
        <v>131</v>
      </c>
      <c r="C35" s="118"/>
      <c r="D35" s="118"/>
      <c r="E35" s="119">
        <f t="shared" si="0"/>
        <v>0</v>
      </c>
      <c r="F35" s="118"/>
      <c r="G35" s="118"/>
      <c r="H35" s="119">
        <f t="shared" si="1"/>
        <v>0</v>
      </c>
    </row>
    <row r="36" spans="1:10" x14ac:dyDescent="0.3">
      <c r="A36" s="116">
        <v>14</v>
      </c>
      <c r="B36" s="133" t="s">
        <v>132</v>
      </c>
      <c r="C36" s="118">
        <f>SUM(C7,C11,C13,C14,C15,C19,C22,C23,C24,C27,C30,C33)</f>
        <v>126461171.71198419</v>
      </c>
      <c r="D36" s="118">
        <f>SUM(D7,D11,D13,D14,D15,D19,D22,D23,D24,D27,D30,D33)</f>
        <v>23600016.687592931</v>
      </c>
      <c r="E36" s="119">
        <f t="shared" si="0"/>
        <v>150061188.39957711</v>
      </c>
      <c r="F36" s="118">
        <f>SUM(F7,F11,F13,F14,F15,F19,F22,F23,F24,F27,F30,F33)</f>
        <v>78434355.130439907</v>
      </c>
      <c r="G36" s="118">
        <f>SUM(G7,G11,G13,G14,G15,G19,G22,G23,G24,G27,G30,G33)</f>
        <v>15581491.13081786</v>
      </c>
      <c r="H36" s="119">
        <f t="shared" si="1"/>
        <v>94015846.261257768</v>
      </c>
    </row>
    <row r="37" spans="1:10" ht="22.5" customHeight="1" x14ac:dyDescent="0.3">
      <c r="A37" s="116"/>
      <c r="B37" s="135" t="s">
        <v>133</v>
      </c>
      <c r="C37" s="818"/>
      <c r="D37" s="819"/>
      <c r="E37" s="819"/>
      <c r="F37" s="819"/>
      <c r="G37" s="819"/>
      <c r="H37" s="820"/>
    </row>
    <row r="38" spans="1:10" x14ac:dyDescent="0.3">
      <c r="A38" s="116">
        <v>15</v>
      </c>
      <c r="B38" s="136" t="s">
        <v>134</v>
      </c>
      <c r="C38" s="118">
        <f>C39</f>
        <v>140</v>
      </c>
      <c r="D38" s="118">
        <f>D39</f>
        <v>48114.84601303783</v>
      </c>
      <c r="E38" s="119">
        <f>C38+D38</f>
        <v>48254.84601303783</v>
      </c>
      <c r="F38" s="118">
        <f>F39</f>
        <v>58011.787068452315</v>
      </c>
      <c r="G38" s="118">
        <f>G39</f>
        <v>2044.9633920000053</v>
      </c>
      <c r="H38" s="119">
        <f>F38+G38</f>
        <v>60056.75046045232</v>
      </c>
      <c r="J38" s="134"/>
    </row>
    <row r="39" spans="1:10" x14ac:dyDescent="0.3">
      <c r="A39" s="116">
        <v>15.1</v>
      </c>
      <c r="B39" s="123" t="s">
        <v>110</v>
      </c>
      <c r="C39" s="118">
        <v>140</v>
      </c>
      <c r="D39" s="118">
        <v>48114.84601303783</v>
      </c>
      <c r="E39" s="119">
        <f t="shared" ref="E39:E53" si="2">C39+D39</f>
        <v>48254.84601303783</v>
      </c>
      <c r="F39" s="118">
        <v>58011.787068452315</v>
      </c>
      <c r="G39" s="118">
        <v>2044.9633920000053</v>
      </c>
      <c r="H39" s="119">
        <f t="shared" ref="H39:H53" si="3">F39+G39</f>
        <v>60056.75046045232</v>
      </c>
    </row>
    <row r="40" spans="1:10" ht="24" customHeight="1" x14ac:dyDescent="0.3">
      <c r="A40" s="116">
        <v>16</v>
      </c>
      <c r="B40" s="137" t="s">
        <v>135</v>
      </c>
      <c r="C40" s="118"/>
      <c r="D40" s="118"/>
      <c r="E40" s="119">
        <f t="shared" si="2"/>
        <v>0</v>
      </c>
      <c r="F40" s="118"/>
      <c r="G40" s="118"/>
      <c r="H40" s="119">
        <f t="shared" si="3"/>
        <v>0</v>
      </c>
    </row>
    <row r="41" spans="1:10" x14ac:dyDescent="0.3">
      <c r="A41" s="116">
        <v>17</v>
      </c>
      <c r="B41" s="137" t="s">
        <v>136</v>
      </c>
      <c r="C41" s="118">
        <f>SUM(C42:C45)</f>
        <v>72244033.679261684</v>
      </c>
      <c r="D41" s="118">
        <f>SUM(D42:D45)</f>
        <v>19353647.59</v>
      </c>
      <c r="E41" s="119">
        <f t="shared" si="2"/>
        <v>91597681.269261688</v>
      </c>
      <c r="F41" s="118">
        <f>SUM(F42:F45)</f>
        <v>22382451.599077646</v>
      </c>
      <c r="G41" s="118">
        <f>SUM(G42:G45)</f>
        <v>8563338.3500000034</v>
      </c>
      <c r="H41" s="119">
        <f t="shared" si="3"/>
        <v>30945789.949077651</v>
      </c>
      <c r="J41" s="138"/>
    </row>
    <row r="42" spans="1:10" x14ac:dyDescent="0.3">
      <c r="A42" s="116">
        <v>17.100000000000001</v>
      </c>
      <c r="B42" s="139" t="s">
        <v>137</v>
      </c>
      <c r="C42" s="121">
        <v>72215291.729261681</v>
      </c>
      <c r="D42" s="121">
        <v>17975215.030000001</v>
      </c>
      <c r="E42" s="119">
        <f t="shared" si="2"/>
        <v>90190506.759261683</v>
      </c>
      <c r="F42" s="121">
        <v>6339080.6690776451</v>
      </c>
      <c r="G42" s="121">
        <v>8283541.7600000026</v>
      </c>
      <c r="H42" s="119">
        <f t="shared" si="3"/>
        <v>14622622.429077648</v>
      </c>
    </row>
    <row r="43" spans="1:10" x14ac:dyDescent="0.3">
      <c r="A43" s="116">
        <v>17.2</v>
      </c>
      <c r="B43" s="120" t="s">
        <v>138</v>
      </c>
      <c r="C43" s="118">
        <v>0</v>
      </c>
      <c r="D43" s="118">
        <v>0</v>
      </c>
      <c r="E43" s="119">
        <f t="shared" si="2"/>
        <v>0</v>
      </c>
      <c r="F43" s="118">
        <v>16004855.07</v>
      </c>
      <c r="G43" s="118">
        <v>0</v>
      </c>
      <c r="H43" s="119">
        <f t="shared" si="3"/>
        <v>16004855.07</v>
      </c>
    </row>
    <row r="44" spans="1:10" x14ac:dyDescent="0.3">
      <c r="A44" s="116">
        <v>17.3</v>
      </c>
      <c r="B44" s="139" t="s">
        <v>139</v>
      </c>
      <c r="C44" s="118"/>
      <c r="D44" s="118"/>
      <c r="E44" s="119">
        <f t="shared" si="2"/>
        <v>0</v>
      </c>
      <c r="F44" s="118"/>
      <c r="G44" s="118"/>
      <c r="H44" s="119">
        <f t="shared" si="3"/>
        <v>0</v>
      </c>
    </row>
    <row r="45" spans="1:10" x14ac:dyDescent="0.3">
      <c r="A45" s="116">
        <v>17.399999999999999</v>
      </c>
      <c r="B45" s="139" t="s">
        <v>140</v>
      </c>
      <c r="C45" s="121">
        <v>28741.949999999953</v>
      </c>
      <c r="D45" s="121">
        <v>1378432.56</v>
      </c>
      <c r="E45" s="119">
        <f t="shared" si="2"/>
        <v>1407174.51</v>
      </c>
      <c r="F45" s="121">
        <v>38515.860000000022</v>
      </c>
      <c r="G45" s="121">
        <v>279796.59000000003</v>
      </c>
      <c r="H45" s="119">
        <f t="shared" si="3"/>
        <v>318312.45000000007</v>
      </c>
    </row>
    <row r="46" spans="1:10" x14ac:dyDescent="0.3">
      <c r="A46" s="116">
        <v>18</v>
      </c>
      <c r="B46" s="125" t="s">
        <v>141</v>
      </c>
      <c r="C46" s="118">
        <v>18659.621366910884</v>
      </c>
      <c r="D46" s="118">
        <v>45146.829653954592</v>
      </c>
      <c r="E46" s="119">
        <f t="shared" si="2"/>
        <v>63806.451020865476</v>
      </c>
      <c r="F46" s="118"/>
      <c r="G46" s="118"/>
      <c r="H46" s="119">
        <f t="shared" si="3"/>
        <v>0</v>
      </c>
    </row>
    <row r="47" spans="1:10" x14ac:dyDescent="0.3">
      <c r="A47" s="116">
        <v>19</v>
      </c>
      <c r="B47" s="125" t="s">
        <v>142</v>
      </c>
      <c r="C47" s="118">
        <f>SUM(C48:C49)</f>
        <v>1791294.3688867388</v>
      </c>
      <c r="D47" s="118">
        <f>SUM(D48:D49)</f>
        <v>0</v>
      </c>
      <c r="E47" s="119">
        <f t="shared" si="2"/>
        <v>1791294.3688867388</v>
      </c>
      <c r="F47" s="118">
        <f>SUM(F48:F49)</f>
        <v>93718.104683280806</v>
      </c>
      <c r="G47" s="118">
        <f>SUM(G48:G49)</f>
        <v>0</v>
      </c>
      <c r="H47" s="119">
        <f t="shared" si="3"/>
        <v>93718.104683280806</v>
      </c>
    </row>
    <row r="48" spans="1:10" x14ac:dyDescent="0.3">
      <c r="A48" s="116">
        <v>19.100000000000001</v>
      </c>
      <c r="B48" s="140" t="s">
        <v>143</v>
      </c>
      <c r="C48" s="118">
        <v>0</v>
      </c>
      <c r="D48" s="118">
        <v>0</v>
      </c>
      <c r="E48" s="119">
        <f t="shared" si="2"/>
        <v>0</v>
      </c>
      <c r="F48" s="118">
        <v>0</v>
      </c>
      <c r="G48" s="118"/>
      <c r="H48" s="119">
        <f t="shared" si="3"/>
        <v>0</v>
      </c>
    </row>
    <row r="49" spans="1:10" x14ac:dyDescent="0.3">
      <c r="A49" s="116">
        <v>19.2</v>
      </c>
      <c r="B49" s="141" t="s">
        <v>144</v>
      </c>
      <c r="C49" s="118">
        <v>1791294.3688867388</v>
      </c>
      <c r="D49" s="118">
        <v>0</v>
      </c>
      <c r="E49" s="119">
        <f t="shared" si="2"/>
        <v>1791294.3688867388</v>
      </c>
      <c r="F49" s="118">
        <v>93718.104683280806</v>
      </c>
      <c r="G49" s="118">
        <v>0</v>
      </c>
      <c r="H49" s="119">
        <f t="shared" si="3"/>
        <v>93718.104683280806</v>
      </c>
    </row>
    <row r="50" spans="1:10" x14ac:dyDescent="0.3">
      <c r="A50" s="116">
        <v>20</v>
      </c>
      <c r="B50" s="133" t="s">
        <v>145</v>
      </c>
      <c r="C50" s="118">
        <v>3201096.76</v>
      </c>
      <c r="D50" s="118">
        <v>0</v>
      </c>
      <c r="E50" s="119">
        <f t="shared" si="2"/>
        <v>3201096.76</v>
      </c>
      <c r="F50" s="118">
        <v>3162209.67</v>
      </c>
      <c r="G50" s="118">
        <v>0</v>
      </c>
      <c r="H50" s="119">
        <f t="shared" si="3"/>
        <v>3162209.67</v>
      </c>
    </row>
    <row r="51" spans="1:10" x14ac:dyDescent="0.3">
      <c r="A51" s="116">
        <v>21</v>
      </c>
      <c r="B51" s="122" t="s">
        <v>146</v>
      </c>
      <c r="C51" s="118">
        <v>466335.64999999962</v>
      </c>
      <c r="D51" s="118">
        <v>223000.83999999991</v>
      </c>
      <c r="E51" s="119">
        <f t="shared" si="2"/>
        <v>689336.48999999953</v>
      </c>
      <c r="F51" s="118">
        <v>740872.23</v>
      </c>
      <c r="G51" s="118">
        <v>239919.81284976532</v>
      </c>
      <c r="H51" s="119">
        <f t="shared" si="3"/>
        <v>980792.04284976528</v>
      </c>
    </row>
    <row r="52" spans="1:10" x14ac:dyDescent="0.3">
      <c r="A52" s="116">
        <v>21.1</v>
      </c>
      <c r="B52" s="120" t="s">
        <v>147</v>
      </c>
      <c r="C52" s="118"/>
      <c r="D52" s="118"/>
      <c r="E52" s="119">
        <f t="shared" si="2"/>
        <v>0</v>
      </c>
      <c r="F52" s="118"/>
      <c r="G52" s="118"/>
      <c r="H52" s="119">
        <f t="shared" si="3"/>
        <v>0</v>
      </c>
    </row>
    <row r="53" spans="1:10" x14ac:dyDescent="0.3">
      <c r="A53" s="116">
        <v>22</v>
      </c>
      <c r="B53" s="133" t="s">
        <v>148</v>
      </c>
      <c r="C53" s="118">
        <f>SUM(C38,C40,C41,C46,C47,C50,C51)</f>
        <v>77721560.079515353</v>
      </c>
      <c r="D53" s="118">
        <f>SUM(D38,D40,D41,D46,D47,D50,D51)</f>
        <v>19669910.105666995</v>
      </c>
      <c r="E53" s="119">
        <f t="shared" si="2"/>
        <v>97391470.185182348</v>
      </c>
      <c r="F53" s="118">
        <f>SUM(F38,F40,F41,F46,F47,F50,F51)</f>
        <v>26437263.390829381</v>
      </c>
      <c r="G53" s="118">
        <f>SUM(G38,G40,G41,G46,G47,G50,G51)</f>
        <v>8805303.1262417696</v>
      </c>
      <c r="H53" s="119">
        <f t="shared" si="3"/>
        <v>35242566.51707115</v>
      </c>
      <c r="J53" s="134"/>
    </row>
    <row r="54" spans="1:10" ht="24" customHeight="1" x14ac:dyDescent="0.3">
      <c r="A54" s="116"/>
      <c r="B54" s="135" t="s">
        <v>149</v>
      </c>
      <c r="C54" s="818"/>
      <c r="D54" s="819"/>
      <c r="E54" s="819"/>
      <c r="F54" s="819"/>
      <c r="G54" s="819"/>
      <c r="H54" s="820"/>
    </row>
    <row r="55" spans="1:10" x14ac:dyDescent="0.3">
      <c r="A55" s="116">
        <v>23</v>
      </c>
      <c r="B55" s="133" t="s">
        <v>150</v>
      </c>
      <c r="C55" s="118">
        <v>62946400</v>
      </c>
      <c r="D55" s="118"/>
      <c r="E55" s="119">
        <f>C55+D55</f>
        <v>62946400</v>
      </c>
      <c r="F55" s="118">
        <v>61146400</v>
      </c>
      <c r="G55" s="118"/>
      <c r="H55" s="119">
        <f>F55+G55</f>
        <v>61146400</v>
      </c>
    </row>
    <row r="56" spans="1:10" x14ac:dyDescent="0.3">
      <c r="A56" s="116">
        <v>24</v>
      </c>
      <c r="B56" s="133" t="s">
        <v>151</v>
      </c>
      <c r="C56" s="118"/>
      <c r="D56" s="118"/>
      <c r="E56" s="119">
        <f t="shared" ref="E56:E69" si="4">C56+D56</f>
        <v>0</v>
      </c>
      <c r="F56" s="118"/>
      <c r="G56" s="118"/>
      <c r="H56" s="119">
        <f t="shared" ref="H56:H69" si="5">F56+G56</f>
        <v>0</v>
      </c>
    </row>
    <row r="57" spans="1:10" x14ac:dyDescent="0.3">
      <c r="A57" s="116">
        <v>25</v>
      </c>
      <c r="B57" s="133" t="s">
        <v>152</v>
      </c>
      <c r="C57" s="118"/>
      <c r="D57" s="118"/>
      <c r="E57" s="119">
        <f t="shared" si="4"/>
        <v>0</v>
      </c>
      <c r="F57" s="118"/>
      <c r="G57" s="118"/>
      <c r="H57" s="119">
        <f t="shared" si="5"/>
        <v>0</v>
      </c>
    </row>
    <row r="58" spans="1:10" x14ac:dyDescent="0.3">
      <c r="A58" s="116">
        <v>26</v>
      </c>
      <c r="B58" s="125" t="s">
        <v>153</v>
      </c>
      <c r="C58" s="118"/>
      <c r="D58" s="118"/>
      <c r="E58" s="119">
        <f t="shared" si="4"/>
        <v>0</v>
      </c>
      <c r="F58" s="118"/>
      <c r="G58" s="118"/>
      <c r="H58" s="119">
        <f t="shared" si="5"/>
        <v>0</v>
      </c>
    </row>
    <row r="59" spans="1:10" x14ac:dyDescent="0.3">
      <c r="A59" s="116">
        <v>27</v>
      </c>
      <c r="B59" s="125" t="s">
        <v>154</v>
      </c>
      <c r="C59" s="118">
        <f>SUM(C60:C61)</f>
        <v>0</v>
      </c>
      <c r="D59" s="118">
        <f>SUM(D60:D61)</f>
        <v>0</v>
      </c>
      <c r="E59" s="119">
        <f t="shared" si="4"/>
        <v>0</v>
      </c>
      <c r="F59" s="118"/>
      <c r="G59" s="118"/>
      <c r="H59" s="119">
        <f t="shared" si="5"/>
        <v>0</v>
      </c>
    </row>
    <row r="60" spans="1:10" x14ac:dyDescent="0.3">
      <c r="A60" s="116">
        <v>27.1</v>
      </c>
      <c r="B60" s="140" t="s">
        <v>155</v>
      </c>
      <c r="C60" s="118"/>
      <c r="D60" s="118"/>
      <c r="E60" s="119">
        <f t="shared" si="4"/>
        <v>0</v>
      </c>
      <c r="F60" s="118"/>
      <c r="G60" s="118"/>
      <c r="H60" s="119">
        <f t="shared" si="5"/>
        <v>0</v>
      </c>
    </row>
    <row r="61" spans="1:10" x14ac:dyDescent="0.3">
      <c r="A61" s="116">
        <v>27.2</v>
      </c>
      <c r="B61" s="139" t="s">
        <v>156</v>
      </c>
      <c r="C61" s="118"/>
      <c r="D61" s="118"/>
      <c r="E61" s="119">
        <f t="shared" si="4"/>
        <v>0</v>
      </c>
      <c r="F61" s="118"/>
      <c r="G61" s="118"/>
      <c r="H61" s="119">
        <f t="shared" si="5"/>
        <v>0</v>
      </c>
    </row>
    <row r="62" spans="1:10" x14ac:dyDescent="0.3">
      <c r="A62" s="116">
        <v>28</v>
      </c>
      <c r="B62" s="122" t="s">
        <v>157</v>
      </c>
      <c r="C62" s="118"/>
      <c r="D62" s="118"/>
      <c r="E62" s="119">
        <f t="shared" si="4"/>
        <v>0</v>
      </c>
      <c r="F62" s="118"/>
      <c r="G62" s="118"/>
      <c r="H62" s="119">
        <f t="shared" si="5"/>
        <v>0</v>
      </c>
    </row>
    <row r="63" spans="1:10" x14ac:dyDescent="0.3">
      <c r="A63" s="116">
        <v>29</v>
      </c>
      <c r="B63" s="125" t="s">
        <v>158</v>
      </c>
      <c r="C63" s="118">
        <f>SUM(C64:C66)</f>
        <v>4352500.4589957595</v>
      </c>
      <c r="D63" s="118">
        <f>SUM(D64:D66)</f>
        <v>0</v>
      </c>
      <c r="E63" s="119">
        <f t="shared" si="4"/>
        <v>4352500.4589957595</v>
      </c>
      <c r="F63" s="118">
        <f>F64</f>
        <v>6777789.5115330247</v>
      </c>
      <c r="G63" s="118"/>
      <c r="H63" s="119">
        <f t="shared" si="5"/>
        <v>6777789.5115330247</v>
      </c>
    </row>
    <row r="64" spans="1:10" x14ac:dyDescent="0.3">
      <c r="A64" s="116">
        <v>29.1</v>
      </c>
      <c r="B64" s="128" t="s">
        <v>159</v>
      </c>
      <c r="C64" s="118">
        <v>4352500.4589957595</v>
      </c>
      <c r="D64" s="118"/>
      <c r="E64" s="119">
        <f t="shared" si="4"/>
        <v>4352500.4589957595</v>
      </c>
      <c r="F64" s="118">
        <v>6777789.5115330247</v>
      </c>
      <c r="G64" s="118"/>
      <c r="H64" s="119">
        <f t="shared" si="5"/>
        <v>6777789.5115330247</v>
      </c>
    </row>
    <row r="65" spans="1:8" ht="24.9" customHeight="1" x14ac:dyDescent="0.3">
      <c r="A65" s="116">
        <v>29.2</v>
      </c>
      <c r="B65" s="140" t="s">
        <v>160</v>
      </c>
      <c r="C65" s="118"/>
      <c r="D65" s="118"/>
      <c r="E65" s="119">
        <f t="shared" si="4"/>
        <v>0</v>
      </c>
      <c r="F65" s="118"/>
      <c r="G65" s="118"/>
      <c r="H65" s="119">
        <f t="shared" si="5"/>
        <v>0</v>
      </c>
    </row>
    <row r="66" spans="1:8" ht="22.5" customHeight="1" x14ac:dyDescent="0.3">
      <c r="A66" s="116">
        <v>29.3</v>
      </c>
      <c r="B66" s="131" t="s">
        <v>161</v>
      </c>
      <c r="C66" s="118"/>
      <c r="D66" s="118"/>
      <c r="E66" s="119">
        <f t="shared" si="4"/>
        <v>0</v>
      </c>
      <c r="F66" s="118"/>
      <c r="G66" s="118"/>
      <c r="H66" s="119">
        <f t="shared" si="5"/>
        <v>0</v>
      </c>
    </row>
    <row r="67" spans="1:8" x14ac:dyDescent="0.3">
      <c r="A67" s="116">
        <v>30</v>
      </c>
      <c r="B67" s="125" t="s">
        <v>162</v>
      </c>
      <c r="C67" s="118">
        <v>-14629182.428600993</v>
      </c>
      <c r="D67" s="118"/>
      <c r="E67" s="119">
        <f t="shared" si="4"/>
        <v>-14629182.428600993</v>
      </c>
      <c r="F67" s="118">
        <v>-9150910.0153464675</v>
      </c>
      <c r="G67" s="118"/>
      <c r="H67" s="119">
        <f t="shared" si="5"/>
        <v>-9150910.0153464675</v>
      </c>
    </row>
    <row r="68" spans="1:8" x14ac:dyDescent="0.3">
      <c r="A68" s="116">
        <v>31</v>
      </c>
      <c r="B68" s="142" t="s">
        <v>163</v>
      </c>
      <c r="C68" s="118">
        <f>SUM(C55,C56,C57,C58,C59,C62,C63,C67)</f>
        <v>52669718.030394763</v>
      </c>
      <c r="D68" s="118">
        <f>SUM(D55,D56,D57,D58,D59,D62,D63,D67)</f>
        <v>0</v>
      </c>
      <c r="E68" s="119">
        <f t="shared" si="4"/>
        <v>52669718.030394763</v>
      </c>
      <c r="F68" s="118">
        <f>SUM(F55,F56,F57,F58,F59,F62,F63,F67)</f>
        <v>58773279.496186554</v>
      </c>
      <c r="G68" s="118">
        <f>SUM(G55,G56,G57,G58,G59,G62,G63,G67)</f>
        <v>0</v>
      </c>
      <c r="H68" s="119">
        <f t="shared" si="5"/>
        <v>58773279.496186554</v>
      </c>
    </row>
    <row r="69" spans="1:8" x14ac:dyDescent="0.3">
      <c r="A69" s="116">
        <v>32</v>
      </c>
      <c r="B69" s="143" t="s">
        <v>164</v>
      </c>
      <c r="C69" s="118">
        <f>SUM(C53,C68)</f>
        <v>130391278.10991012</v>
      </c>
      <c r="D69" s="118">
        <f>SUM(D53,D68)</f>
        <v>19669910.105666995</v>
      </c>
      <c r="E69" s="119">
        <f t="shared" si="4"/>
        <v>150061188.21557713</v>
      </c>
      <c r="F69" s="118">
        <f>SUM(F68,F53)</f>
        <v>85210542.887015939</v>
      </c>
      <c r="G69" s="118">
        <f>SUM(G68,G53)</f>
        <v>8805303.1262417696</v>
      </c>
      <c r="H69" s="119">
        <f t="shared" si="5"/>
        <v>94015846.013257712</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013F-026C-4731-8806-7F64C676E140}">
  <dimension ref="A1:D235"/>
  <sheetViews>
    <sheetView zoomScaleNormal="100" workbookViewId="0">
      <selection activeCell="B2" sqref="B2:C2"/>
    </sheetView>
  </sheetViews>
  <sheetFormatPr defaultColWidth="43.5546875" defaultRowHeight="12" x14ac:dyDescent="0.3"/>
  <cols>
    <col min="1" max="1" width="8" style="711" customWidth="1"/>
    <col min="2" max="2" width="66.109375" style="710" customWidth="1"/>
    <col min="3" max="3" width="131.44140625" style="709" customWidth="1"/>
    <col min="4" max="5" width="10.33203125" style="708" customWidth="1"/>
    <col min="6" max="16384" width="43.5546875" style="708"/>
  </cols>
  <sheetData>
    <row r="1" spans="1:3" ht="13.2" thickTop="1" thickBot="1" x14ac:dyDescent="0.35">
      <c r="A1" s="934" t="s">
        <v>888</v>
      </c>
      <c r="B1" s="935"/>
      <c r="C1" s="936"/>
    </row>
    <row r="2" spans="1:3" ht="26.25" customHeight="1" x14ac:dyDescent="0.3">
      <c r="A2" s="733"/>
      <c r="B2" s="937" t="s">
        <v>1016</v>
      </c>
      <c r="C2" s="937"/>
    </row>
    <row r="3" spans="1:3" s="771" customFormat="1" ht="11.25" customHeight="1" x14ac:dyDescent="0.3">
      <c r="A3" s="772"/>
      <c r="B3" s="937" t="s">
        <v>1015</v>
      </c>
      <c r="C3" s="937"/>
    </row>
    <row r="4" spans="1:3" ht="12" customHeight="1" thickBot="1" x14ac:dyDescent="0.35">
      <c r="A4" s="938" t="s">
        <v>1014</v>
      </c>
      <c r="B4" s="939"/>
      <c r="C4" s="940"/>
    </row>
    <row r="5" spans="1:3" ht="12.6" thickTop="1" x14ac:dyDescent="0.3">
      <c r="A5" s="769"/>
      <c r="B5" s="941" t="s">
        <v>1013</v>
      </c>
      <c r="C5" s="942"/>
    </row>
    <row r="6" spans="1:3" x14ac:dyDescent="0.3">
      <c r="A6" s="733"/>
      <c r="B6" s="943" t="s">
        <v>1012</v>
      </c>
      <c r="C6" s="944"/>
    </row>
    <row r="7" spans="1:3" x14ac:dyDescent="0.3">
      <c r="A7" s="733"/>
      <c r="B7" s="943" t="s">
        <v>1011</v>
      </c>
      <c r="C7" s="944"/>
    </row>
    <row r="8" spans="1:3" x14ac:dyDescent="0.3">
      <c r="A8" s="733"/>
      <c r="B8" s="943" t="s">
        <v>1010</v>
      </c>
      <c r="C8" s="944"/>
    </row>
    <row r="9" spans="1:3" x14ac:dyDescent="0.3">
      <c r="A9" s="733"/>
      <c r="B9" s="947" t="s">
        <v>1009</v>
      </c>
      <c r="C9" s="948"/>
    </row>
    <row r="10" spans="1:3" x14ac:dyDescent="0.3">
      <c r="A10" s="733"/>
      <c r="B10" s="945" t="s">
        <v>1008</v>
      </c>
      <c r="C10" s="946" t="s">
        <v>1008</v>
      </c>
    </row>
    <row r="11" spans="1:3" x14ac:dyDescent="0.3">
      <c r="A11" s="733"/>
      <c r="B11" s="945" t="s">
        <v>1007</v>
      </c>
      <c r="C11" s="946" t="s">
        <v>1007</v>
      </c>
    </row>
    <row r="12" spans="1:3" x14ac:dyDescent="0.3">
      <c r="A12" s="733"/>
      <c r="B12" s="945" t="s">
        <v>1006</v>
      </c>
      <c r="C12" s="946" t="s">
        <v>1006</v>
      </c>
    </row>
    <row r="13" spans="1:3" x14ac:dyDescent="0.3">
      <c r="A13" s="733"/>
      <c r="B13" s="945" t="s">
        <v>1005</v>
      </c>
      <c r="C13" s="946" t="s">
        <v>1005</v>
      </c>
    </row>
    <row r="14" spans="1:3" x14ac:dyDescent="0.3">
      <c r="A14" s="733"/>
      <c r="B14" s="945" t="s">
        <v>1004</v>
      </c>
      <c r="C14" s="946" t="s">
        <v>1004</v>
      </c>
    </row>
    <row r="15" spans="1:3" ht="21.75" customHeight="1" x14ac:dyDescent="0.3">
      <c r="A15" s="733"/>
      <c r="B15" s="945" t="s">
        <v>1003</v>
      </c>
      <c r="C15" s="946" t="s">
        <v>1003</v>
      </c>
    </row>
    <row r="16" spans="1:3" x14ac:dyDescent="0.3">
      <c r="A16" s="733"/>
      <c r="B16" s="945" t="s">
        <v>1002</v>
      </c>
      <c r="C16" s="946" t="s">
        <v>1001</v>
      </c>
    </row>
    <row r="17" spans="1:3" x14ac:dyDescent="0.3">
      <c r="A17" s="733"/>
      <c r="B17" s="945" t="s">
        <v>1000</v>
      </c>
      <c r="C17" s="946" t="s">
        <v>999</v>
      </c>
    </row>
    <row r="18" spans="1:3" x14ac:dyDescent="0.3">
      <c r="A18" s="733"/>
      <c r="B18" s="945" t="s">
        <v>998</v>
      </c>
      <c r="C18" s="946" t="s">
        <v>997</v>
      </c>
    </row>
    <row r="19" spans="1:3" x14ac:dyDescent="0.3">
      <c r="A19" s="733"/>
      <c r="B19" s="945" t="s">
        <v>996</v>
      </c>
      <c r="C19" s="946" t="s">
        <v>996</v>
      </c>
    </row>
    <row r="20" spans="1:3" x14ac:dyDescent="0.3">
      <c r="A20" s="733"/>
      <c r="B20" s="945" t="s">
        <v>995</v>
      </c>
      <c r="C20" s="946" t="s">
        <v>995</v>
      </c>
    </row>
    <row r="21" spans="1:3" x14ac:dyDescent="0.3">
      <c r="A21" s="733"/>
      <c r="B21" s="945" t="s">
        <v>994</v>
      </c>
      <c r="C21" s="946" t="s">
        <v>994</v>
      </c>
    </row>
    <row r="22" spans="1:3" ht="23.25" customHeight="1" x14ac:dyDescent="0.3">
      <c r="A22" s="733"/>
      <c r="B22" s="945" t="s">
        <v>993</v>
      </c>
      <c r="C22" s="946" t="s">
        <v>992</v>
      </c>
    </row>
    <row r="23" spans="1:3" x14ac:dyDescent="0.3">
      <c r="A23" s="733"/>
      <c r="B23" s="945" t="s">
        <v>991</v>
      </c>
      <c r="C23" s="946" t="s">
        <v>991</v>
      </c>
    </row>
    <row r="24" spans="1:3" x14ac:dyDescent="0.3">
      <c r="A24" s="733"/>
      <c r="B24" s="945" t="s">
        <v>990</v>
      </c>
      <c r="C24" s="946" t="s">
        <v>989</v>
      </c>
    </row>
    <row r="25" spans="1:3" ht="12.6" thickBot="1" x14ac:dyDescent="0.35">
      <c r="A25" s="768"/>
      <c r="B25" s="949" t="s">
        <v>988</v>
      </c>
      <c r="C25" s="950"/>
    </row>
    <row r="26" spans="1:3" ht="13.2" thickTop="1" thickBot="1" x14ac:dyDescent="0.35">
      <c r="A26" s="938" t="s">
        <v>987</v>
      </c>
      <c r="B26" s="939"/>
      <c r="C26" s="940"/>
    </row>
    <row r="27" spans="1:3" ht="13.2" thickTop="1" thickBot="1" x14ac:dyDescent="0.35">
      <c r="A27" s="770"/>
      <c r="B27" s="951" t="s">
        <v>986</v>
      </c>
      <c r="C27" s="952"/>
    </row>
    <row r="28" spans="1:3" ht="13.2" thickTop="1" thickBot="1" x14ac:dyDescent="0.35">
      <c r="A28" s="938" t="s">
        <v>985</v>
      </c>
      <c r="B28" s="939"/>
      <c r="C28" s="940"/>
    </row>
    <row r="29" spans="1:3" ht="12.6" thickTop="1" x14ac:dyDescent="0.3">
      <c r="A29" s="769"/>
      <c r="B29" s="953" t="s">
        <v>984</v>
      </c>
      <c r="C29" s="954" t="s">
        <v>983</v>
      </c>
    </row>
    <row r="30" spans="1:3" x14ac:dyDescent="0.3">
      <c r="A30" s="733"/>
      <c r="B30" s="955" t="s">
        <v>982</v>
      </c>
      <c r="C30" s="956" t="s">
        <v>981</v>
      </c>
    </row>
    <row r="31" spans="1:3" x14ac:dyDescent="0.3">
      <c r="A31" s="733"/>
      <c r="B31" s="955" t="s">
        <v>980</v>
      </c>
      <c r="C31" s="956" t="s">
        <v>979</v>
      </c>
    </row>
    <row r="32" spans="1:3" x14ac:dyDescent="0.3">
      <c r="A32" s="733"/>
      <c r="B32" s="955" t="s">
        <v>978</v>
      </c>
      <c r="C32" s="956" t="s">
        <v>977</v>
      </c>
    </row>
    <row r="33" spans="1:3" x14ac:dyDescent="0.3">
      <c r="A33" s="733"/>
      <c r="B33" s="955" t="s">
        <v>976</v>
      </c>
      <c r="C33" s="956" t="s">
        <v>975</v>
      </c>
    </row>
    <row r="34" spans="1:3" x14ac:dyDescent="0.3">
      <c r="A34" s="733"/>
      <c r="B34" s="955" t="s">
        <v>974</v>
      </c>
      <c r="C34" s="956" t="s">
        <v>973</v>
      </c>
    </row>
    <row r="35" spans="1:3" x14ac:dyDescent="0.3">
      <c r="A35" s="733"/>
      <c r="B35" s="955" t="s">
        <v>972</v>
      </c>
      <c r="C35" s="956" t="s">
        <v>971</v>
      </c>
    </row>
    <row r="36" spans="1:3" x14ac:dyDescent="0.3">
      <c r="A36" s="733"/>
      <c r="B36" s="943" t="s">
        <v>970</v>
      </c>
      <c r="C36" s="957"/>
    </row>
    <row r="37" spans="1:3" ht="24.75" customHeight="1" x14ac:dyDescent="0.3">
      <c r="A37" s="733"/>
      <c r="B37" s="955" t="s">
        <v>969</v>
      </c>
      <c r="C37" s="956" t="s">
        <v>968</v>
      </c>
    </row>
    <row r="38" spans="1:3" ht="23.25" customHeight="1" x14ac:dyDescent="0.3">
      <c r="A38" s="733"/>
      <c r="B38" s="955" t="s">
        <v>967</v>
      </c>
      <c r="C38" s="956" t="s">
        <v>966</v>
      </c>
    </row>
    <row r="39" spans="1:3" ht="23.25" customHeight="1" x14ac:dyDescent="0.3">
      <c r="A39" s="733"/>
      <c r="B39" s="943" t="s">
        <v>965</v>
      </c>
      <c r="C39" s="944"/>
    </row>
    <row r="40" spans="1:3" ht="12" customHeight="1" x14ac:dyDescent="0.3">
      <c r="A40" s="733"/>
      <c r="B40" s="955" t="s">
        <v>964</v>
      </c>
      <c r="C40" s="956"/>
    </row>
    <row r="41" spans="1:3" ht="12.6" thickBot="1" x14ac:dyDescent="0.35">
      <c r="A41" s="938" t="s">
        <v>963</v>
      </c>
      <c r="B41" s="939"/>
      <c r="C41" s="940"/>
    </row>
    <row r="42" spans="1:3" ht="12.6" thickTop="1" x14ac:dyDescent="0.3">
      <c r="A42" s="769"/>
      <c r="B42" s="941" t="s">
        <v>962</v>
      </c>
      <c r="C42" s="942" t="s">
        <v>961</v>
      </c>
    </row>
    <row r="43" spans="1:3" x14ac:dyDescent="0.3">
      <c r="A43" s="733"/>
      <c r="B43" s="943" t="s">
        <v>960</v>
      </c>
      <c r="C43" s="944"/>
    </row>
    <row r="44" spans="1:3" ht="23.25" customHeight="1" thickBot="1" x14ac:dyDescent="0.35">
      <c r="A44" s="768"/>
      <c r="B44" s="958" t="s">
        <v>959</v>
      </c>
      <c r="C44" s="959" t="s">
        <v>958</v>
      </c>
    </row>
    <row r="45" spans="1:3" ht="11.25" customHeight="1" thickTop="1" thickBot="1" x14ac:dyDescent="0.35">
      <c r="A45" s="938" t="s">
        <v>957</v>
      </c>
      <c r="B45" s="939"/>
      <c r="C45" s="940"/>
    </row>
    <row r="46" spans="1:3" ht="26.25" customHeight="1" thickTop="1" x14ac:dyDescent="0.3">
      <c r="A46" s="733"/>
      <c r="B46" s="943" t="s">
        <v>956</v>
      </c>
      <c r="C46" s="944"/>
    </row>
    <row r="47" spans="1:3" ht="12.6" thickBot="1" x14ac:dyDescent="0.35">
      <c r="A47" s="938" t="s">
        <v>955</v>
      </c>
      <c r="B47" s="939"/>
      <c r="C47" s="940"/>
    </row>
    <row r="48" spans="1:3" ht="12.6" thickTop="1" x14ac:dyDescent="0.3">
      <c r="A48" s="769"/>
      <c r="B48" s="941" t="s">
        <v>946</v>
      </c>
      <c r="C48" s="942" t="s">
        <v>946</v>
      </c>
    </row>
    <row r="49" spans="1:3" ht="11.25" customHeight="1" x14ac:dyDescent="0.3">
      <c r="A49" s="733"/>
      <c r="B49" s="943" t="s">
        <v>954</v>
      </c>
      <c r="C49" s="944" t="s">
        <v>954</v>
      </c>
    </row>
    <row r="50" spans="1:3" x14ac:dyDescent="0.3">
      <c r="A50" s="733"/>
      <c r="B50" s="943" t="s">
        <v>953</v>
      </c>
      <c r="C50" s="944" t="s">
        <v>953</v>
      </c>
    </row>
    <row r="51" spans="1:3" ht="11.25" customHeight="1" x14ac:dyDescent="0.3">
      <c r="A51" s="733"/>
      <c r="B51" s="943" t="s">
        <v>952</v>
      </c>
      <c r="C51" s="944" t="s">
        <v>951</v>
      </c>
    </row>
    <row r="52" spans="1:3" ht="33.6" customHeight="1" x14ac:dyDescent="0.3">
      <c r="A52" s="733"/>
      <c r="B52" s="943" t="s">
        <v>950</v>
      </c>
      <c r="C52" s="944" t="s">
        <v>950</v>
      </c>
    </row>
    <row r="53" spans="1:3" ht="11.25" customHeight="1" x14ac:dyDescent="0.3">
      <c r="A53" s="733"/>
      <c r="B53" s="943" t="s">
        <v>949</v>
      </c>
      <c r="C53" s="944" t="s">
        <v>948</v>
      </c>
    </row>
    <row r="54" spans="1:3" ht="11.25" customHeight="1" thickBot="1" x14ac:dyDescent="0.35">
      <c r="A54" s="938" t="s">
        <v>947</v>
      </c>
      <c r="B54" s="939"/>
      <c r="C54" s="940"/>
    </row>
    <row r="55" spans="1:3" ht="12.6" thickTop="1" x14ac:dyDescent="0.3">
      <c r="A55" s="769"/>
      <c r="B55" s="941" t="s">
        <v>946</v>
      </c>
      <c r="C55" s="942" t="s">
        <v>946</v>
      </c>
    </row>
    <row r="56" spans="1:3" x14ac:dyDescent="0.3">
      <c r="A56" s="733"/>
      <c r="B56" s="943" t="s">
        <v>945</v>
      </c>
      <c r="C56" s="944" t="s">
        <v>945</v>
      </c>
    </row>
    <row r="57" spans="1:3" x14ac:dyDescent="0.3">
      <c r="A57" s="733"/>
      <c r="B57" s="943" t="s">
        <v>944</v>
      </c>
      <c r="C57" s="944" t="s">
        <v>943</v>
      </c>
    </row>
    <row r="58" spans="1:3" x14ac:dyDescent="0.3">
      <c r="A58" s="733"/>
      <c r="B58" s="943" t="s">
        <v>942</v>
      </c>
      <c r="C58" s="944" t="s">
        <v>942</v>
      </c>
    </row>
    <row r="59" spans="1:3" x14ac:dyDescent="0.3">
      <c r="A59" s="733"/>
      <c r="B59" s="943" t="s">
        <v>941</v>
      </c>
      <c r="C59" s="944" t="s">
        <v>941</v>
      </c>
    </row>
    <row r="60" spans="1:3" x14ac:dyDescent="0.3">
      <c r="A60" s="733"/>
      <c r="B60" s="943" t="s">
        <v>940</v>
      </c>
      <c r="C60" s="944" t="s">
        <v>940</v>
      </c>
    </row>
    <row r="61" spans="1:3" x14ac:dyDescent="0.3">
      <c r="A61" s="733"/>
      <c r="B61" s="943" t="s">
        <v>939</v>
      </c>
      <c r="C61" s="944" t="s">
        <v>938</v>
      </c>
    </row>
    <row r="62" spans="1:3" x14ac:dyDescent="0.3">
      <c r="A62" s="733"/>
      <c r="B62" s="943" t="s">
        <v>937</v>
      </c>
      <c r="C62" s="944" t="s">
        <v>937</v>
      </c>
    </row>
    <row r="63" spans="1:3" ht="12.6" thickBot="1" x14ac:dyDescent="0.35">
      <c r="A63" s="768"/>
      <c r="B63" s="958" t="s">
        <v>936</v>
      </c>
      <c r="C63" s="959" t="s">
        <v>936</v>
      </c>
    </row>
    <row r="64" spans="1:3" ht="11.25" customHeight="1" thickTop="1" x14ac:dyDescent="0.3">
      <c r="A64" s="960" t="s">
        <v>935</v>
      </c>
      <c r="B64" s="961"/>
      <c r="C64" s="962"/>
    </row>
    <row r="65" spans="1:3" ht="12.6" thickBot="1" x14ac:dyDescent="0.35">
      <c r="A65" s="768"/>
      <c r="B65" s="958" t="s">
        <v>894</v>
      </c>
      <c r="C65" s="959" t="s">
        <v>894</v>
      </c>
    </row>
    <row r="66" spans="1:3" ht="15.75" customHeight="1" thickTop="1" thickBot="1" x14ac:dyDescent="0.35">
      <c r="A66" s="938" t="s">
        <v>934</v>
      </c>
      <c r="B66" s="939"/>
      <c r="C66" s="940"/>
    </row>
    <row r="67" spans="1:3" ht="12.6" thickTop="1" x14ac:dyDescent="0.3">
      <c r="A67" s="769"/>
      <c r="B67" s="941" t="s">
        <v>933</v>
      </c>
      <c r="C67" s="942" t="s">
        <v>933</v>
      </c>
    </row>
    <row r="68" spans="1:3" x14ac:dyDescent="0.3">
      <c r="A68" s="733"/>
      <c r="B68" s="943" t="s">
        <v>932</v>
      </c>
      <c r="C68" s="944" t="s">
        <v>931</v>
      </c>
    </row>
    <row r="69" spans="1:3" x14ac:dyDescent="0.3">
      <c r="A69" s="733"/>
      <c r="B69" s="943" t="s">
        <v>930</v>
      </c>
      <c r="C69" s="944" t="s">
        <v>930</v>
      </c>
    </row>
    <row r="70" spans="1:3" ht="54.9" customHeight="1" x14ac:dyDescent="0.3">
      <c r="A70" s="733"/>
      <c r="B70" s="963" t="s">
        <v>929</v>
      </c>
      <c r="C70" s="964" t="s">
        <v>928</v>
      </c>
    </row>
    <row r="71" spans="1:3" ht="33.75" customHeight="1" x14ac:dyDescent="0.3">
      <c r="A71" s="733"/>
      <c r="B71" s="963" t="s">
        <v>927</v>
      </c>
      <c r="C71" s="964" t="s">
        <v>926</v>
      </c>
    </row>
    <row r="72" spans="1:3" ht="15.75" customHeight="1" x14ac:dyDescent="0.3">
      <c r="A72" s="733"/>
      <c r="B72" s="963" t="s">
        <v>925</v>
      </c>
      <c r="C72" s="964" t="s">
        <v>924</v>
      </c>
    </row>
    <row r="73" spans="1:3" x14ac:dyDescent="0.3">
      <c r="A73" s="733"/>
      <c r="B73" s="943" t="s">
        <v>923</v>
      </c>
      <c r="C73" s="944" t="s">
        <v>923</v>
      </c>
    </row>
    <row r="74" spans="1:3" ht="12.6" thickBot="1" x14ac:dyDescent="0.35">
      <c r="A74" s="768"/>
      <c r="B74" s="958" t="s">
        <v>922</v>
      </c>
      <c r="C74" s="959" t="s">
        <v>922</v>
      </c>
    </row>
    <row r="75" spans="1:3" ht="12.6" thickTop="1" x14ac:dyDescent="0.3">
      <c r="A75" s="960" t="s">
        <v>921</v>
      </c>
      <c r="B75" s="961"/>
      <c r="C75" s="962"/>
    </row>
    <row r="76" spans="1:3" x14ac:dyDescent="0.3">
      <c r="A76" s="733"/>
      <c r="B76" s="943" t="s">
        <v>894</v>
      </c>
      <c r="C76" s="944"/>
    </row>
    <row r="77" spans="1:3" x14ac:dyDescent="0.3">
      <c r="A77" s="733"/>
      <c r="B77" s="943" t="s">
        <v>920</v>
      </c>
      <c r="C77" s="944"/>
    </row>
    <row r="78" spans="1:3" x14ac:dyDescent="0.3">
      <c r="A78" s="733"/>
      <c r="B78" s="943" t="s">
        <v>919</v>
      </c>
      <c r="C78" s="944"/>
    </row>
    <row r="79" spans="1:3" x14ac:dyDescent="0.3">
      <c r="A79" s="960" t="s">
        <v>918</v>
      </c>
      <c r="B79" s="961"/>
      <c r="C79" s="962"/>
    </row>
    <row r="80" spans="1:3" x14ac:dyDescent="0.3">
      <c r="A80" s="733"/>
      <c r="B80" s="943" t="s">
        <v>894</v>
      </c>
      <c r="C80" s="944"/>
    </row>
    <row r="81" spans="1:3" x14ac:dyDescent="0.3">
      <c r="A81" s="733"/>
      <c r="B81" s="943" t="s">
        <v>917</v>
      </c>
      <c r="C81" s="944"/>
    </row>
    <row r="82" spans="1:3" ht="79.5" customHeight="1" x14ac:dyDescent="0.3">
      <c r="A82" s="733"/>
      <c r="B82" s="943" t="s">
        <v>916</v>
      </c>
      <c r="C82" s="944"/>
    </row>
    <row r="83" spans="1:3" ht="53.25" customHeight="1" x14ac:dyDescent="0.3">
      <c r="A83" s="733"/>
      <c r="B83" s="943" t="s">
        <v>915</v>
      </c>
      <c r="C83" s="944"/>
    </row>
    <row r="84" spans="1:3" x14ac:dyDescent="0.3">
      <c r="A84" s="733"/>
      <c r="B84" s="943" t="s">
        <v>914</v>
      </c>
      <c r="C84" s="944"/>
    </row>
    <row r="85" spans="1:3" x14ac:dyDescent="0.3">
      <c r="A85" s="733"/>
      <c r="B85" s="943" t="s">
        <v>913</v>
      </c>
      <c r="C85" s="944"/>
    </row>
    <row r="86" spans="1:3" x14ac:dyDescent="0.3">
      <c r="A86" s="733"/>
      <c r="B86" s="943" t="s">
        <v>912</v>
      </c>
      <c r="C86" s="944"/>
    </row>
    <row r="87" spans="1:3" x14ac:dyDescent="0.3">
      <c r="A87" s="960" t="s">
        <v>911</v>
      </c>
      <c r="B87" s="961"/>
      <c r="C87" s="962"/>
    </row>
    <row r="88" spans="1:3" x14ac:dyDescent="0.3">
      <c r="A88" s="733"/>
      <c r="B88" s="943" t="s">
        <v>894</v>
      </c>
      <c r="C88" s="944"/>
    </row>
    <row r="89" spans="1:3" x14ac:dyDescent="0.3">
      <c r="A89" s="733"/>
      <c r="B89" s="943" t="s">
        <v>910</v>
      </c>
      <c r="C89" s="944"/>
    </row>
    <row r="90" spans="1:3" ht="12" customHeight="1" x14ac:dyDescent="0.3">
      <c r="A90" s="733"/>
      <c r="B90" s="943" t="s">
        <v>909</v>
      </c>
      <c r="C90" s="944"/>
    </row>
    <row r="91" spans="1:3" x14ac:dyDescent="0.3">
      <c r="A91" s="733"/>
      <c r="B91" s="943" t="s">
        <v>908</v>
      </c>
      <c r="C91" s="944"/>
    </row>
    <row r="92" spans="1:3" ht="24.75" customHeight="1" x14ac:dyDescent="0.3">
      <c r="A92" s="733"/>
      <c r="B92" s="955" t="s">
        <v>907</v>
      </c>
      <c r="C92" s="956"/>
    </row>
    <row r="93" spans="1:3" ht="24" customHeight="1" x14ac:dyDescent="0.3">
      <c r="A93" s="733"/>
      <c r="B93" s="955" t="s">
        <v>906</v>
      </c>
      <c r="C93" s="956"/>
    </row>
    <row r="94" spans="1:3" ht="13.5" customHeight="1" x14ac:dyDescent="0.3">
      <c r="A94" s="733"/>
      <c r="B94" s="955" t="s">
        <v>905</v>
      </c>
      <c r="C94" s="956"/>
    </row>
    <row r="95" spans="1:3" ht="11.25" customHeight="1" thickBot="1" x14ac:dyDescent="0.35">
      <c r="A95" s="969" t="s">
        <v>904</v>
      </c>
      <c r="B95" s="970"/>
      <c r="C95" s="971"/>
    </row>
    <row r="96" spans="1:3" ht="13.2" thickTop="1" thickBot="1" x14ac:dyDescent="0.35">
      <c r="A96" s="972" t="s">
        <v>903</v>
      </c>
      <c r="B96" s="972"/>
      <c r="C96" s="972"/>
    </row>
    <row r="97" spans="1:3" x14ac:dyDescent="0.3">
      <c r="A97" s="767">
        <v>2</v>
      </c>
      <c r="B97" s="766" t="s">
        <v>471</v>
      </c>
      <c r="C97" s="766" t="s">
        <v>902</v>
      </c>
    </row>
    <row r="98" spans="1:3" x14ac:dyDescent="0.3">
      <c r="A98" s="765">
        <v>3</v>
      </c>
      <c r="B98" s="764" t="s">
        <v>472</v>
      </c>
      <c r="C98" s="763" t="s">
        <v>901</v>
      </c>
    </row>
    <row r="99" spans="1:3" x14ac:dyDescent="0.3">
      <c r="A99" s="765">
        <v>4</v>
      </c>
      <c r="B99" s="764" t="s">
        <v>473</v>
      </c>
      <c r="C99" s="763" t="s">
        <v>900</v>
      </c>
    </row>
    <row r="100" spans="1:3" ht="11.25" customHeight="1" x14ac:dyDescent="0.3">
      <c r="A100" s="765">
        <v>5</v>
      </c>
      <c r="B100" s="764" t="s">
        <v>474</v>
      </c>
      <c r="C100" s="763" t="s">
        <v>899</v>
      </c>
    </row>
    <row r="101" spans="1:3" ht="12" customHeight="1" x14ac:dyDescent="0.3">
      <c r="A101" s="765">
        <v>6</v>
      </c>
      <c r="B101" s="764" t="s">
        <v>475</v>
      </c>
      <c r="C101" s="763" t="s">
        <v>898</v>
      </c>
    </row>
    <row r="102" spans="1:3" ht="12" customHeight="1" x14ac:dyDescent="0.3">
      <c r="A102" s="765">
        <v>7</v>
      </c>
      <c r="B102" s="764" t="s">
        <v>476</v>
      </c>
      <c r="C102" s="763" t="s">
        <v>897</v>
      </c>
    </row>
    <row r="103" spans="1:3" x14ac:dyDescent="0.3">
      <c r="A103" s="765">
        <v>8</v>
      </c>
      <c r="B103" s="764" t="s">
        <v>481</v>
      </c>
      <c r="C103" s="763" t="s">
        <v>896</v>
      </c>
    </row>
    <row r="104" spans="1:3" ht="11.25" customHeight="1" x14ac:dyDescent="0.3">
      <c r="A104" s="960" t="s">
        <v>895</v>
      </c>
      <c r="B104" s="961"/>
      <c r="C104" s="962"/>
    </row>
    <row r="105" spans="1:3" ht="12" customHeight="1" x14ac:dyDescent="0.3">
      <c r="A105" s="733"/>
      <c r="B105" s="943" t="s">
        <v>894</v>
      </c>
      <c r="C105" s="944"/>
    </row>
    <row r="106" spans="1:3" x14ac:dyDescent="0.3">
      <c r="A106" s="960" t="s">
        <v>893</v>
      </c>
      <c r="B106" s="961"/>
      <c r="C106" s="962"/>
    </row>
    <row r="107" spans="1:3" ht="12" customHeight="1" x14ac:dyDescent="0.3">
      <c r="A107" s="733"/>
      <c r="B107" s="943" t="s">
        <v>892</v>
      </c>
      <c r="C107" s="944"/>
    </row>
    <row r="108" spans="1:3" x14ac:dyDescent="0.3">
      <c r="A108" s="733"/>
      <c r="B108" s="943" t="s">
        <v>891</v>
      </c>
      <c r="C108" s="944"/>
    </row>
    <row r="109" spans="1:3" x14ac:dyDescent="0.3">
      <c r="A109" s="733"/>
      <c r="B109" s="943" t="s">
        <v>890</v>
      </c>
      <c r="C109" s="944"/>
    </row>
    <row r="110" spans="1:3" x14ac:dyDescent="0.3">
      <c r="A110" s="973" t="s">
        <v>889</v>
      </c>
      <c r="B110" s="973"/>
      <c r="C110" s="973"/>
    </row>
    <row r="111" spans="1:3" x14ac:dyDescent="0.3">
      <c r="A111" s="974" t="s">
        <v>888</v>
      </c>
      <c r="B111" s="974"/>
      <c r="C111" s="974"/>
    </row>
    <row r="112" spans="1:3" x14ac:dyDescent="0.3">
      <c r="A112" s="758">
        <v>1</v>
      </c>
      <c r="B112" s="965" t="s">
        <v>887</v>
      </c>
      <c r="C112" s="966"/>
    </row>
    <row r="113" spans="1:3" x14ac:dyDescent="0.3">
      <c r="A113" s="758">
        <v>2</v>
      </c>
      <c r="B113" s="967" t="s">
        <v>886</v>
      </c>
      <c r="C113" s="968"/>
    </row>
    <row r="114" spans="1:3" x14ac:dyDescent="0.3">
      <c r="A114" s="758">
        <v>3</v>
      </c>
      <c r="B114" s="965" t="s">
        <v>885</v>
      </c>
      <c r="C114" s="966"/>
    </row>
    <row r="115" spans="1:3" x14ac:dyDescent="0.3">
      <c r="A115" s="758">
        <v>4</v>
      </c>
      <c r="B115" s="965" t="s">
        <v>884</v>
      </c>
      <c r="C115" s="966"/>
    </row>
    <row r="116" spans="1:3" x14ac:dyDescent="0.3">
      <c r="A116" s="758">
        <v>5</v>
      </c>
      <c r="B116" s="762" t="s">
        <v>883</v>
      </c>
      <c r="C116" s="761"/>
    </row>
    <row r="117" spans="1:3" x14ac:dyDescent="0.3">
      <c r="A117" s="758">
        <v>6</v>
      </c>
      <c r="B117" s="965" t="s">
        <v>882</v>
      </c>
      <c r="C117" s="966"/>
    </row>
    <row r="118" spans="1:3" x14ac:dyDescent="0.3">
      <c r="A118" s="758">
        <v>7</v>
      </c>
      <c r="B118" s="965" t="s">
        <v>881</v>
      </c>
      <c r="C118" s="966"/>
    </row>
    <row r="119" spans="1:3" x14ac:dyDescent="0.3">
      <c r="A119" s="731">
        <v>8</v>
      </c>
      <c r="B119" s="718" t="s">
        <v>880</v>
      </c>
      <c r="C119" s="755" t="s">
        <v>879</v>
      </c>
    </row>
    <row r="120" spans="1:3" ht="24" x14ac:dyDescent="0.3">
      <c r="A120" s="758">
        <v>9.01</v>
      </c>
      <c r="B120" s="718" t="s">
        <v>604</v>
      </c>
      <c r="C120" s="719" t="s">
        <v>878</v>
      </c>
    </row>
    <row r="121" spans="1:3" ht="36" x14ac:dyDescent="0.3">
      <c r="A121" s="758">
        <v>9.02</v>
      </c>
      <c r="B121" s="718" t="s">
        <v>605</v>
      </c>
      <c r="C121" s="719" t="s">
        <v>877</v>
      </c>
    </row>
    <row r="122" spans="1:3" x14ac:dyDescent="0.3">
      <c r="A122" s="758">
        <v>9.0299999999999994</v>
      </c>
      <c r="B122" s="719" t="s">
        <v>876</v>
      </c>
      <c r="C122" s="719" t="s">
        <v>875</v>
      </c>
    </row>
    <row r="123" spans="1:3" x14ac:dyDescent="0.3">
      <c r="A123" s="758">
        <v>9.0399999999999991</v>
      </c>
      <c r="B123" s="718" t="s">
        <v>607</v>
      </c>
      <c r="C123" s="719" t="s">
        <v>874</v>
      </c>
    </row>
    <row r="124" spans="1:3" x14ac:dyDescent="0.3">
      <c r="A124" s="758">
        <v>9.0500000000000007</v>
      </c>
      <c r="B124" s="718" t="s">
        <v>608</v>
      </c>
      <c r="C124" s="719" t="s">
        <v>873</v>
      </c>
    </row>
    <row r="125" spans="1:3" ht="24" x14ac:dyDescent="0.3">
      <c r="A125" s="758">
        <v>9.06</v>
      </c>
      <c r="B125" s="718" t="s">
        <v>609</v>
      </c>
      <c r="C125" s="719" t="s">
        <v>872</v>
      </c>
    </row>
    <row r="126" spans="1:3" x14ac:dyDescent="0.3">
      <c r="A126" s="758">
        <v>9.07</v>
      </c>
      <c r="B126" s="760" t="s">
        <v>611</v>
      </c>
      <c r="C126" s="719" t="s">
        <v>871</v>
      </c>
    </row>
    <row r="127" spans="1:3" ht="24" x14ac:dyDescent="0.3">
      <c r="A127" s="758">
        <v>9.08</v>
      </c>
      <c r="B127" s="718" t="s">
        <v>612</v>
      </c>
      <c r="C127" s="719" t="s">
        <v>870</v>
      </c>
    </row>
    <row r="128" spans="1:3" ht="24" x14ac:dyDescent="0.3">
      <c r="A128" s="758">
        <v>9.09</v>
      </c>
      <c r="B128" s="718" t="s">
        <v>613</v>
      </c>
      <c r="C128" s="719" t="s">
        <v>869</v>
      </c>
    </row>
    <row r="129" spans="1:3" x14ac:dyDescent="0.3">
      <c r="A129" s="759">
        <v>9.1</v>
      </c>
      <c r="B129" s="718" t="s">
        <v>614</v>
      </c>
      <c r="C129" s="719" t="s">
        <v>868</v>
      </c>
    </row>
    <row r="130" spans="1:3" x14ac:dyDescent="0.3">
      <c r="A130" s="758">
        <v>9.11</v>
      </c>
      <c r="B130" s="718" t="s">
        <v>615</v>
      </c>
      <c r="C130" s="719" t="s">
        <v>867</v>
      </c>
    </row>
    <row r="131" spans="1:3" x14ac:dyDescent="0.3">
      <c r="A131" s="758">
        <v>9.1199999999999992</v>
      </c>
      <c r="B131" s="718" t="s">
        <v>616</v>
      </c>
      <c r="C131" s="719" t="s">
        <v>866</v>
      </c>
    </row>
    <row r="132" spans="1:3" x14ac:dyDescent="0.3">
      <c r="A132" s="758">
        <v>9.1300000000000008</v>
      </c>
      <c r="B132" s="718" t="s">
        <v>617</v>
      </c>
      <c r="C132" s="719" t="s">
        <v>865</v>
      </c>
    </row>
    <row r="133" spans="1:3" x14ac:dyDescent="0.3">
      <c r="A133" s="758">
        <v>9.14</v>
      </c>
      <c r="B133" s="718" t="s">
        <v>618</v>
      </c>
      <c r="C133" s="719" t="s">
        <v>864</v>
      </c>
    </row>
    <row r="134" spans="1:3" x14ac:dyDescent="0.3">
      <c r="A134" s="758">
        <v>9.15</v>
      </c>
      <c r="B134" s="718" t="s">
        <v>619</v>
      </c>
      <c r="C134" s="719" t="s">
        <v>863</v>
      </c>
    </row>
    <row r="135" spans="1:3" x14ac:dyDescent="0.3">
      <c r="A135" s="758">
        <v>9.16</v>
      </c>
      <c r="B135" s="718" t="s">
        <v>620</v>
      </c>
      <c r="C135" s="719" t="s">
        <v>862</v>
      </c>
    </row>
    <row r="136" spans="1:3" x14ac:dyDescent="0.3">
      <c r="A136" s="758">
        <v>9.17</v>
      </c>
      <c r="B136" s="719" t="s">
        <v>622</v>
      </c>
      <c r="C136" s="719" t="s">
        <v>861</v>
      </c>
    </row>
    <row r="137" spans="1:3" ht="24" x14ac:dyDescent="0.3">
      <c r="A137" s="758">
        <v>9.18</v>
      </c>
      <c r="B137" s="718" t="s">
        <v>623</v>
      </c>
      <c r="C137" s="719" t="s">
        <v>860</v>
      </c>
    </row>
    <row r="138" spans="1:3" x14ac:dyDescent="0.3">
      <c r="A138" s="758">
        <v>9.19</v>
      </c>
      <c r="B138" s="718" t="s">
        <v>624</v>
      </c>
      <c r="C138" s="719" t="s">
        <v>859</v>
      </c>
    </row>
    <row r="139" spans="1:3" x14ac:dyDescent="0.3">
      <c r="A139" s="759">
        <v>9.1999999999999993</v>
      </c>
      <c r="B139" s="718" t="s">
        <v>625</v>
      </c>
      <c r="C139" s="719" t="s">
        <v>858</v>
      </c>
    </row>
    <row r="140" spans="1:3" x14ac:dyDescent="0.3">
      <c r="A140" s="758">
        <v>9.2100000000000009</v>
      </c>
      <c r="B140" s="718" t="s">
        <v>626</v>
      </c>
      <c r="C140" s="719" t="s">
        <v>857</v>
      </c>
    </row>
    <row r="141" spans="1:3" x14ac:dyDescent="0.3">
      <c r="A141" s="758">
        <v>9.2200000000000006</v>
      </c>
      <c r="B141" s="718" t="s">
        <v>627</v>
      </c>
      <c r="C141" s="719" t="s">
        <v>856</v>
      </c>
    </row>
    <row r="142" spans="1:3" ht="24" x14ac:dyDescent="0.3">
      <c r="A142" s="758">
        <v>9.23</v>
      </c>
      <c r="B142" s="718" t="s">
        <v>628</v>
      </c>
      <c r="C142" s="719" t="s">
        <v>855</v>
      </c>
    </row>
    <row r="143" spans="1:3" ht="24" x14ac:dyDescent="0.3">
      <c r="A143" s="758">
        <v>9.24</v>
      </c>
      <c r="B143" s="718" t="s">
        <v>629</v>
      </c>
      <c r="C143" s="719" t="s">
        <v>854</v>
      </c>
    </row>
    <row r="144" spans="1:3" x14ac:dyDescent="0.3">
      <c r="A144" s="758">
        <v>9.2500000000000107</v>
      </c>
      <c r="B144" s="718" t="s">
        <v>223</v>
      </c>
      <c r="C144" s="719" t="s">
        <v>853</v>
      </c>
    </row>
    <row r="145" spans="1:3" ht="24" x14ac:dyDescent="0.3">
      <c r="A145" s="758">
        <v>9.2600000000000193</v>
      </c>
      <c r="B145" s="718" t="s">
        <v>852</v>
      </c>
      <c r="C145" s="747" t="s">
        <v>851</v>
      </c>
    </row>
    <row r="146" spans="1:3" s="757" customFormat="1" ht="24" x14ac:dyDescent="0.3">
      <c r="A146" s="758">
        <v>9.2700000000000298</v>
      </c>
      <c r="B146" s="718" t="s">
        <v>129</v>
      </c>
      <c r="C146" s="747" t="s">
        <v>850</v>
      </c>
    </row>
    <row r="147" spans="1:3" s="757" customFormat="1" x14ac:dyDescent="0.3">
      <c r="A147" s="733"/>
      <c r="B147" s="975" t="s">
        <v>849</v>
      </c>
      <c r="C147" s="976"/>
    </row>
    <row r="148" spans="1:3" s="757" customFormat="1" x14ac:dyDescent="0.3">
      <c r="A148" s="731">
        <v>1</v>
      </c>
      <c r="B148" s="943" t="s">
        <v>848</v>
      </c>
      <c r="C148" s="944"/>
    </row>
    <row r="149" spans="1:3" s="757" customFormat="1" x14ac:dyDescent="0.3">
      <c r="A149" s="731">
        <v>2</v>
      </c>
      <c r="B149" s="943" t="s">
        <v>847</v>
      </c>
      <c r="C149" s="944"/>
    </row>
    <row r="150" spans="1:3" s="757" customFormat="1" x14ac:dyDescent="0.3">
      <c r="A150" s="731">
        <v>3</v>
      </c>
      <c r="B150" s="943" t="s">
        <v>846</v>
      </c>
      <c r="C150" s="944"/>
    </row>
    <row r="151" spans="1:3" s="757" customFormat="1" x14ac:dyDescent="0.3">
      <c r="A151" s="733"/>
      <c r="B151" s="975" t="s">
        <v>845</v>
      </c>
      <c r="C151" s="976"/>
    </row>
    <row r="152" spans="1:3" s="757" customFormat="1" x14ac:dyDescent="0.3">
      <c r="A152" s="731">
        <v>1</v>
      </c>
      <c r="B152" s="979" t="s">
        <v>844</v>
      </c>
      <c r="C152" s="980"/>
    </row>
    <row r="153" spans="1:3" s="757" customFormat="1" x14ac:dyDescent="0.3">
      <c r="A153" s="731">
        <v>2</v>
      </c>
      <c r="B153" s="718" t="s">
        <v>603</v>
      </c>
      <c r="C153" s="755" t="s">
        <v>788</v>
      </c>
    </row>
    <row r="154" spans="1:3" ht="24" x14ac:dyDescent="0.3">
      <c r="A154" s="731">
        <v>3</v>
      </c>
      <c r="B154" s="718" t="s">
        <v>593</v>
      </c>
      <c r="C154" s="755" t="s">
        <v>843</v>
      </c>
    </row>
    <row r="155" spans="1:3" x14ac:dyDescent="0.3">
      <c r="A155" s="731">
        <v>4</v>
      </c>
      <c r="B155" s="718" t="s">
        <v>594</v>
      </c>
      <c r="C155" s="718" t="s">
        <v>842</v>
      </c>
    </row>
    <row r="156" spans="1:3" ht="24.9" customHeight="1" x14ac:dyDescent="0.3">
      <c r="A156" s="733"/>
      <c r="B156" s="975" t="s">
        <v>841</v>
      </c>
      <c r="C156" s="976"/>
    </row>
    <row r="157" spans="1:3" ht="24" x14ac:dyDescent="0.3">
      <c r="A157" s="731"/>
      <c r="B157" s="718" t="s">
        <v>789</v>
      </c>
      <c r="C157" s="735" t="s">
        <v>840</v>
      </c>
    </row>
    <row r="158" spans="1:3" x14ac:dyDescent="0.3">
      <c r="A158" s="733"/>
      <c r="B158" s="975" t="s">
        <v>839</v>
      </c>
      <c r="C158" s="976"/>
    </row>
    <row r="159" spans="1:3" ht="39" customHeight="1" x14ac:dyDescent="0.3">
      <c r="A159" s="733"/>
      <c r="B159" s="943" t="s">
        <v>838</v>
      </c>
      <c r="C159" s="944"/>
    </row>
    <row r="160" spans="1:3" x14ac:dyDescent="0.3">
      <c r="A160" s="733" t="s">
        <v>837</v>
      </c>
      <c r="B160" s="756" t="s">
        <v>648</v>
      </c>
      <c r="C160" s="730" t="s">
        <v>836</v>
      </c>
    </row>
    <row r="161" spans="1:3" x14ac:dyDescent="0.3">
      <c r="A161" s="733" t="s">
        <v>372</v>
      </c>
      <c r="B161" s="753" t="s">
        <v>649</v>
      </c>
      <c r="C161" s="755" t="s">
        <v>835</v>
      </c>
    </row>
    <row r="162" spans="1:3" ht="24" x14ac:dyDescent="0.3">
      <c r="A162" s="733" t="s">
        <v>380</v>
      </c>
      <c r="B162" s="730" t="s">
        <v>650</v>
      </c>
      <c r="C162" s="755" t="s">
        <v>834</v>
      </c>
    </row>
    <row r="163" spans="1:3" x14ac:dyDescent="0.3">
      <c r="A163" s="733" t="s">
        <v>833</v>
      </c>
      <c r="B163" s="753" t="s">
        <v>651</v>
      </c>
      <c r="C163" s="754" t="s">
        <v>832</v>
      </c>
    </row>
    <row r="164" spans="1:3" ht="24" x14ac:dyDescent="0.3">
      <c r="A164" s="733" t="s">
        <v>831</v>
      </c>
      <c r="B164" s="753" t="s">
        <v>652</v>
      </c>
      <c r="C164" s="748" t="s">
        <v>830</v>
      </c>
    </row>
    <row r="165" spans="1:3" ht="24" x14ac:dyDescent="0.3">
      <c r="A165" s="733" t="s">
        <v>389</v>
      </c>
      <c r="B165" s="753" t="s">
        <v>653</v>
      </c>
      <c r="C165" s="748" t="s">
        <v>829</v>
      </c>
    </row>
    <row r="166" spans="1:3" ht="24" x14ac:dyDescent="0.3">
      <c r="A166" s="733" t="s">
        <v>828</v>
      </c>
      <c r="B166" s="751" t="s">
        <v>654</v>
      </c>
      <c r="C166" s="752" t="s">
        <v>827</v>
      </c>
    </row>
    <row r="167" spans="1:3" ht="24" x14ac:dyDescent="0.3">
      <c r="A167" s="733" t="s">
        <v>826</v>
      </c>
      <c r="B167" s="751" t="s">
        <v>655</v>
      </c>
      <c r="C167" s="748" t="s">
        <v>825</v>
      </c>
    </row>
    <row r="168" spans="1:3" ht="26.4" customHeight="1" x14ac:dyDescent="0.3">
      <c r="A168" s="733" t="s">
        <v>824</v>
      </c>
      <c r="B168" s="751" t="s">
        <v>656</v>
      </c>
      <c r="C168" s="752" t="s">
        <v>823</v>
      </c>
    </row>
    <row r="169" spans="1:3" x14ac:dyDescent="0.3">
      <c r="A169" s="733" t="s">
        <v>822</v>
      </c>
      <c r="B169" s="719" t="s">
        <v>657</v>
      </c>
      <c r="C169" s="752" t="s">
        <v>821</v>
      </c>
    </row>
    <row r="170" spans="1:3" ht="24" x14ac:dyDescent="0.3">
      <c r="A170" s="733" t="s">
        <v>820</v>
      </c>
      <c r="B170" s="751" t="s">
        <v>658</v>
      </c>
      <c r="C170" s="750" t="s">
        <v>819</v>
      </c>
    </row>
    <row r="171" spans="1:3" x14ac:dyDescent="0.3">
      <c r="A171" s="733" t="s">
        <v>818</v>
      </c>
      <c r="B171" s="749" t="s">
        <v>659</v>
      </c>
      <c r="C171" s="730" t="s">
        <v>817</v>
      </c>
    </row>
    <row r="172" spans="1:3" ht="24" x14ac:dyDescent="0.3">
      <c r="A172" s="733"/>
      <c r="B172" s="748" t="s">
        <v>816</v>
      </c>
      <c r="C172" s="719" t="s">
        <v>815</v>
      </c>
    </row>
    <row r="173" spans="1:3" ht="24" x14ac:dyDescent="0.3">
      <c r="A173" s="733"/>
      <c r="B173" s="748" t="s">
        <v>814</v>
      </c>
      <c r="C173" s="719" t="s">
        <v>813</v>
      </c>
    </row>
    <row r="174" spans="1:3" ht="24" x14ac:dyDescent="0.3">
      <c r="A174" s="733"/>
      <c r="B174" s="748" t="s">
        <v>812</v>
      </c>
      <c r="C174" s="719" t="s">
        <v>811</v>
      </c>
    </row>
    <row r="175" spans="1:3" x14ac:dyDescent="0.3">
      <c r="A175" s="733"/>
      <c r="B175" s="975" t="s">
        <v>810</v>
      </c>
      <c r="C175" s="976"/>
    </row>
    <row r="176" spans="1:3" x14ac:dyDescent="0.3">
      <c r="A176" s="733"/>
      <c r="B176" s="943" t="s">
        <v>809</v>
      </c>
      <c r="C176" s="944"/>
    </row>
    <row r="177" spans="1:3" x14ac:dyDescent="0.3">
      <c r="A177" s="731">
        <v>1</v>
      </c>
      <c r="B177" s="719" t="s">
        <v>678</v>
      </c>
      <c r="C177" s="719" t="s">
        <v>678</v>
      </c>
    </row>
    <row r="178" spans="1:3" ht="24" x14ac:dyDescent="0.3">
      <c r="A178" s="731">
        <v>2</v>
      </c>
      <c r="B178" s="719" t="s">
        <v>808</v>
      </c>
      <c r="C178" s="719" t="s">
        <v>807</v>
      </c>
    </row>
    <row r="179" spans="1:3" x14ac:dyDescent="0.3">
      <c r="A179" s="731">
        <v>3</v>
      </c>
      <c r="B179" s="719" t="s">
        <v>680</v>
      </c>
      <c r="C179" s="719" t="s">
        <v>806</v>
      </c>
    </row>
    <row r="180" spans="1:3" ht="24" x14ac:dyDescent="0.3">
      <c r="A180" s="731">
        <v>4</v>
      </c>
      <c r="B180" s="719" t="s">
        <v>681</v>
      </c>
      <c r="C180" s="719" t="s">
        <v>805</v>
      </c>
    </row>
    <row r="181" spans="1:3" ht="24" x14ac:dyDescent="0.3">
      <c r="A181" s="731">
        <v>5</v>
      </c>
      <c r="B181" s="719" t="s">
        <v>682</v>
      </c>
      <c r="C181" s="719" t="s">
        <v>804</v>
      </c>
    </row>
    <row r="182" spans="1:3" ht="48" x14ac:dyDescent="0.3">
      <c r="A182" s="731">
        <v>6</v>
      </c>
      <c r="B182" s="719" t="s">
        <v>683</v>
      </c>
      <c r="C182" s="719" t="s">
        <v>803</v>
      </c>
    </row>
    <row r="183" spans="1:3" x14ac:dyDescent="0.3">
      <c r="A183" s="733"/>
      <c r="B183" s="975" t="s">
        <v>802</v>
      </c>
      <c r="C183" s="976"/>
    </row>
    <row r="184" spans="1:3" x14ac:dyDescent="0.3">
      <c r="A184" s="733"/>
      <c r="B184" s="978" t="s">
        <v>801</v>
      </c>
      <c r="C184" s="979"/>
    </row>
    <row r="185" spans="1:3" ht="24" x14ac:dyDescent="0.3">
      <c r="A185" s="733">
        <v>1.1000000000000001</v>
      </c>
      <c r="B185" s="746" t="s">
        <v>695</v>
      </c>
      <c r="C185" s="719" t="s">
        <v>800</v>
      </c>
    </row>
    <row r="186" spans="1:3" ht="50.1" customHeight="1" x14ac:dyDescent="0.3">
      <c r="A186" s="733" t="s">
        <v>248</v>
      </c>
      <c r="B186" s="724" t="s">
        <v>696</v>
      </c>
      <c r="C186" s="719" t="s">
        <v>799</v>
      </c>
    </row>
    <row r="187" spans="1:3" x14ac:dyDescent="0.3">
      <c r="A187" s="733" t="s">
        <v>697</v>
      </c>
      <c r="B187" s="745" t="s">
        <v>698</v>
      </c>
      <c r="C187" s="937" t="s">
        <v>798</v>
      </c>
    </row>
    <row r="188" spans="1:3" x14ac:dyDescent="0.3">
      <c r="A188" s="733" t="s">
        <v>699</v>
      </c>
      <c r="B188" s="745" t="s">
        <v>700</v>
      </c>
      <c r="C188" s="937"/>
    </row>
    <row r="189" spans="1:3" x14ac:dyDescent="0.3">
      <c r="A189" s="733" t="s">
        <v>701</v>
      </c>
      <c r="B189" s="745" t="s">
        <v>702</v>
      </c>
      <c r="C189" s="937"/>
    </row>
    <row r="190" spans="1:3" x14ac:dyDescent="0.3">
      <c r="A190" s="733" t="s">
        <v>703</v>
      </c>
      <c r="B190" s="745" t="s">
        <v>704</v>
      </c>
      <c r="C190" s="937"/>
    </row>
    <row r="191" spans="1:3" x14ac:dyDescent="0.3">
      <c r="A191" s="733">
        <v>1.2</v>
      </c>
      <c r="B191" s="744" t="s">
        <v>705</v>
      </c>
      <c r="C191" s="718" t="s">
        <v>797</v>
      </c>
    </row>
    <row r="192" spans="1:3" ht="24" x14ac:dyDescent="0.3">
      <c r="A192" s="733" t="s">
        <v>707</v>
      </c>
      <c r="B192" s="737" t="s">
        <v>708</v>
      </c>
      <c r="C192" s="742" t="s">
        <v>796</v>
      </c>
    </row>
    <row r="193" spans="1:4" ht="24" x14ac:dyDescent="0.3">
      <c r="A193" s="733" t="s">
        <v>709</v>
      </c>
      <c r="B193" s="743" t="s">
        <v>710</v>
      </c>
      <c r="C193" s="742" t="s">
        <v>795</v>
      </c>
    </row>
    <row r="194" spans="1:4" ht="26.1" customHeight="1" x14ac:dyDescent="0.3">
      <c r="A194" s="733" t="s">
        <v>711</v>
      </c>
      <c r="B194" s="741" t="s">
        <v>712</v>
      </c>
      <c r="C194" s="718" t="s">
        <v>794</v>
      </c>
    </row>
    <row r="195" spans="1:4" ht="24" x14ac:dyDescent="0.3">
      <c r="A195" s="733" t="s">
        <v>713</v>
      </c>
      <c r="B195" s="740" t="s">
        <v>714</v>
      </c>
      <c r="C195" s="718" t="s">
        <v>793</v>
      </c>
      <c r="D195" s="739"/>
    </row>
    <row r="196" spans="1:4" ht="12.6" x14ac:dyDescent="0.3">
      <c r="A196" s="733">
        <v>1.4</v>
      </c>
      <c r="B196" s="737" t="s">
        <v>715</v>
      </c>
      <c r="C196" s="736" t="s">
        <v>792</v>
      </c>
      <c r="D196" s="738"/>
    </row>
    <row r="197" spans="1:4" ht="12.6" x14ac:dyDescent="0.3">
      <c r="A197" s="733">
        <v>1.5</v>
      </c>
      <c r="B197" s="737" t="s">
        <v>716</v>
      </c>
      <c r="C197" s="736" t="s">
        <v>792</v>
      </c>
      <c r="D197" s="734"/>
    </row>
    <row r="198" spans="1:4" ht="12.6" x14ac:dyDescent="0.3">
      <c r="A198" s="733"/>
      <c r="B198" s="973" t="s">
        <v>791</v>
      </c>
      <c r="C198" s="973"/>
      <c r="D198" s="734"/>
    </row>
    <row r="199" spans="1:4" ht="12.6" x14ac:dyDescent="0.3">
      <c r="A199" s="733"/>
      <c r="B199" s="978" t="s">
        <v>790</v>
      </c>
      <c r="C199" s="978"/>
      <c r="D199" s="734"/>
    </row>
    <row r="200" spans="1:4" ht="12.6" x14ac:dyDescent="0.3">
      <c r="A200" s="731"/>
      <c r="B200" s="718" t="s">
        <v>789</v>
      </c>
      <c r="C200" s="735" t="s">
        <v>788</v>
      </c>
      <c r="D200" s="734"/>
    </row>
    <row r="201" spans="1:4" ht="12.6" x14ac:dyDescent="0.3">
      <c r="A201" s="733"/>
      <c r="B201" s="973" t="s">
        <v>787</v>
      </c>
      <c r="C201" s="973"/>
      <c r="D201" s="732"/>
    </row>
    <row r="202" spans="1:4" ht="12.6" x14ac:dyDescent="0.3">
      <c r="A202" s="731"/>
      <c r="B202" s="978" t="s">
        <v>786</v>
      </c>
      <c r="C202" s="978"/>
      <c r="D202" s="729"/>
    </row>
    <row r="203" spans="1:4" ht="12.6" x14ac:dyDescent="0.3">
      <c r="B203" s="973" t="s">
        <v>785</v>
      </c>
      <c r="C203" s="973"/>
      <c r="D203" s="728"/>
    </row>
    <row r="204" spans="1:4" ht="24" x14ac:dyDescent="0.3">
      <c r="A204" s="724">
        <v>1</v>
      </c>
      <c r="B204" s="718" t="s">
        <v>748</v>
      </c>
      <c r="C204" s="718" t="s">
        <v>784</v>
      </c>
      <c r="D204" s="729"/>
    </row>
    <row r="205" spans="1:4" ht="18" customHeight="1" x14ac:dyDescent="0.3">
      <c r="A205" s="724">
        <v>2</v>
      </c>
      <c r="B205" s="718" t="s">
        <v>610</v>
      </c>
      <c r="C205" s="718" t="s">
        <v>783</v>
      </c>
      <c r="D205" s="728"/>
    </row>
    <row r="206" spans="1:4" ht="24" x14ac:dyDescent="0.3">
      <c r="A206" s="724">
        <v>3</v>
      </c>
      <c r="B206" s="718" t="s">
        <v>749</v>
      </c>
      <c r="C206" s="718" t="s">
        <v>782</v>
      </c>
      <c r="D206" s="727"/>
    </row>
    <row r="207" spans="1:4" ht="12.6" x14ac:dyDescent="0.3">
      <c r="A207" s="724">
        <v>4</v>
      </c>
      <c r="B207" s="718" t="s">
        <v>750</v>
      </c>
      <c r="C207" s="718" t="s">
        <v>781</v>
      </c>
      <c r="D207" s="727"/>
    </row>
    <row r="208" spans="1:4" ht="24" x14ac:dyDescent="0.3">
      <c r="A208" s="724">
        <v>5</v>
      </c>
      <c r="B208" s="718" t="s">
        <v>751</v>
      </c>
      <c r="C208" s="718" t="s">
        <v>780</v>
      </c>
    </row>
    <row r="209" spans="1:3" ht="24.6" customHeight="1" x14ac:dyDescent="0.3">
      <c r="A209" s="724">
        <v>6</v>
      </c>
      <c r="B209" s="718" t="s">
        <v>752</v>
      </c>
      <c r="C209" s="718" t="s">
        <v>779</v>
      </c>
    </row>
    <row r="210" spans="1:3" ht="24" x14ac:dyDescent="0.3">
      <c r="A210" s="724">
        <v>7</v>
      </c>
      <c r="B210" s="718" t="s">
        <v>753</v>
      </c>
      <c r="C210" s="718" t="s">
        <v>778</v>
      </c>
    </row>
    <row r="211" spans="1:3" x14ac:dyDescent="0.3">
      <c r="A211" s="724">
        <v>7.1</v>
      </c>
      <c r="B211" s="726" t="s">
        <v>754</v>
      </c>
      <c r="C211" s="718" t="s">
        <v>777</v>
      </c>
    </row>
    <row r="212" spans="1:3" x14ac:dyDescent="0.3">
      <c r="A212" s="724">
        <v>7.2</v>
      </c>
      <c r="B212" s="726" t="s">
        <v>755</v>
      </c>
      <c r="C212" s="718" t="s">
        <v>776</v>
      </c>
    </row>
    <row r="213" spans="1:3" x14ac:dyDescent="0.3">
      <c r="A213" s="724">
        <v>7.3</v>
      </c>
      <c r="B213" s="725" t="s">
        <v>756</v>
      </c>
      <c r="C213" s="718" t="s">
        <v>775</v>
      </c>
    </row>
    <row r="214" spans="1:3" ht="39.6" customHeight="1" x14ac:dyDescent="0.3">
      <c r="A214" s="724">
        <v>8</v>
      </c>
      <c r="B214" s="718" t="s">
        <v>757</v>
      </c>
      <c r="C214" s="718" t="s">
        <v>774</v>
      </c>
    </row>
    <row r="215" spans="1:3" x14ac:dyDescent="0.3">
      <c r="A215" s="724">
        <v>9</v>
      </c>
      <c r="B215" s="718" t="s">
        <v>758</v>
      </c>
      <c r="C215" s="718" t="s">
        <v>773</v>
      </c>
    </row>
    <row r="216" spans="1:3" x14ac:dyDescent="0.3">
      <c r="A216" s="723">
        <v>10.1</v>
      </c>
      <c r="B216" s="722" t="s">
        <v>772</v>
      </c>
      <c r="C216" s="721" t="s">
        <v>771</v>
      </c>
    </row>
    <row r="217" spans="1:3" x14ac:dyDescent="0.3">
      <c r="A217" s="981"/>
      <c r="B217" s="720" t="s">
        <v>742</v>
      </c>
      <c r="C217" s="718" t="s">
        <v>770</v>
      </c>
    </row>
    <row r="218" spans="1:3" x14ac:dyDescent="0.3">
      <c r="A218" s="981"/>
      <c r="B218" s="719" t="s">
        <v>689</v>
      </c>
      <c r="C218" s="718" t="s">
        <v>769</v>
      </c>
    </row>
    <row r="219" spans="1:3" x14ac:dyDescent="0.3">
      <c r="A219" s="981"/>
      <c r="B219" s="719" t="s">
        <v>592</v>
      </c>
      <c r="C219" s="718" t="s">
        <v>768</v>
      </c>
    </row>
    <row r="220" spans="1:3" x14ac:dyDescent="0.3">
      <c r="A220" s="981"/>
      <c r="B220" s="719" t="s">
        <v>743</v>
      </c>
      <c r="C220" s="718" t="s">
        <v>767</v>
      </c>
    </row>
    <row r="221" spans="1:3" ht="24" x14ac:dyDescent="0.3">
      <c r="A221" s="981"/>
      <c r="B221" s="719" t="s">
        <v>744</v>
      </c>
      <c r="C221" s="719" t="s">
        <v>766</v>
      </c>
    </row>
    <row r="222" spans="1:3" ht="36" x14ac:dyDescent="0.3">
      <c r="A222" s="981"/>
      <c r="B222" s="719" t="s">
        <v>745</v>
      </c>
      <c r="C222" s="718" t="s">
        <v>765</v>
      </c>
    </row>
    <row r="223" spans="1:3" x14ac:dyDescent="0.3">
      <c r="A223" s="981"/>
      <c r="B223" s="719" t="s">
        <v>764</v>
      </c>
      <c r="C223" s="718" t="s">
        <v>763</v>
      </c>
    </row>
    <row r="224" spans="1:3" ht="24" x14ac:dyDescent="0.3">
      <c r="A224" s="981"/>
      <c r="B224" s="719" t="s">
        <v>762</v>
      </c>
      <c r="C224" s="718" t="s">
        <v>761</v>
      </c>
    </row>
    <row r="225" spans="1:3" ht="12.6" x14ac:dyDescent="0.3">
      <c r="A225" s="716"/>
      <c r="B225" s="717"/>
      <c r="C225" s="712"/>
    </row>
    <row r="226" spans="1:3" ht="12.6" x14ac:dyDescent="0.3">
      <c r="A226" s="716"/>
      <c r="B226" s="712"/>
      <c r="C226" s="712"/>
    </row>
    <row r="227" spans="1:3" ht="12.6" x14ac:dyDescent="0.3">
      <c r="A227" s="716"/>
      <c r="B227" s="712"/>
      <c r="C227" s="712"/>
    </row>
    <row r="228" spans="1:3" ht="12.6" x14ac:dyDescent="0.3">
      <c r="A228" s="716"/>
      <c r="B228" s="715"/>
      <c r="C228" s="712"/>
    </row>
    <row r="229" spans="1:3" x14ac:dyDescent="0.3">
      <c r="A229" s="977"/>
      <c r="B229" s="713"/>
      <c r="C229" s="712"/>
    </row>
    <row r="230" spans="1:3" x14ac:dyDescent="0.3">
      <c r="A230" s="977"/>
      <c r="B230" s="713"/>
      <c r="C230" s="712"/>
    </row>
    <row r="231" spans="1:3" x14ac:dyDescent="0.3">
      <c r="A231" s="977"/>
      <c r="B231" s="713"/>
      <c r="C231" s="712"/>
    </row>
    <row r="232" spans="1:3" x14ac:dyDescent="0.3">
      <c r="A232" s="977"/>
      <c r="B232" s="713"/>
      <c r="C232" s="714"/>
    </row>
    <row r="233" spans="1:3" ht="40.5" customHeight="1" x14ac:dyDescent="0.3">
      <c r="A233" s="977"/>
      <c r="B233" s="713"/>
      <c r="C233" s="712"/>
    </row>
    <row r="234" spans="1:3" ht="24" customHeight="1" x14ac:dyDescent="0.3">
      <c r="A234" s="977"/>
      <c r="B234" s="713"/>
      <c r="C234" s="712"/>
    </row>
    <row r="235" spans="1:3" x14ac:dyDescent="0.3">
      <c r="A235" s="977"/>
      <c r="B235" s="713"/>
      <c r="C235" s="712"/>
    </row>
  </sheetData>
  <mergeCells count="131">
    <mergeCell ref="B115:C115"/>
    <mergeCell ref="B117:C117"/>
    <mergeCell ref="B118:C118"/>
    <mergeCell ref="B147:C147"/>
    <mergeCell ref="B148:C148"/>
    <mergeCell ref="A229:A235"/>
    <mergeCell ref="B175:C175"/>
    <mergeCell ref="B176:C176"/>
    <mergeCell ref="B183:C183"/>
    <mergeCell ref="B184:C184"/>
    <mergeCell ref="C187:C190"/>
    <mergeCell ref="B198:C198"/>
    <mergeCell ref="B199:C199"/>
    <mergeCell ref="B201:C201"/>
    <mergeCell ref="B202:C202"/>
    <mergeCell ref="B149:C149"/>
    <mergeCell ref="B150:C150"/>
    <mergeCell ref="B151:C151"/>
    <mergeCell ref="B152:C152"/>
    <mergeCell ref="B203:C203"/>
    <mergeCell ref="A217:A224"/>
    <mergeCell ref="B156:C156"/>
    <mergeCell ref="B158:C158"/>
    <mergeCell ref="B159:C159"/>
    <mergeCell ref="B112:C112"/>
    <mergeCell ref="B113:C113"/>
    <mergeCell ref="B114:C114"/>
    <mergeCell ref="B84:C84"/>
    <mergeCell ref="B85:C85"/>
    <mergeCell ref="B86:C86"/>
    <mergeCell ref="A87:C87"/>
    <mergeCell ref="B88:C88"/>
    <mergeCell ref="B89:C89"/>
    <mergeCell ref="B90:C90"/>
    <mergeCell ref="B91:C91"/>
    <mergeCell ref="B92:C92"/>
    <mergeCell ref="B93:C93"/>
    <mergeCell ref="B94:C94"/>
    <mergeCell ref="A95:C95"/>
    <mergeCell ref="A96:C96"/>
    <mergeCell ref="A104:C104"/>
    <mergeCell ref="B105:C105"/>
    <mergeCell ref="A106:C106"/>
    <mergeCell ref="B107:C107"/>
    <mergeCell ref="B108:C108"/>
    <mergeCell ref="B109:C109"/>
    <mergeCell ref="A110:C110"/>
    <mergeCell ref="A111:C111"/>
    <mergeCell ref="B81:C81"/>
    <mergeCell ref="B82:C82"/>
    <mergeCell ref="B83:C83"/>
    <mergeCell ref="B60:C60"/>
    <mergeCell ref="B61:C61"/>
    <mergeCell ref="B62:C62"/>
    <mergeCell ref="B63:C63"/>
    <mergeCell ref="A64:C64"/>
    <mergeCell ref="B65:C65"/>
    <mergeCell ref="A66:C66"/>
    <mergeCell ref="B67:C67"/>
    <mergeCell ref="B68:C68"/>
    <mergeCell ref="B69:C69"/>
    <mergeCell ref="B70:C70"/>
    <mergeCell ref="B71:C71"/>
    <mergeCell ref="B72:C72"/>
    <mergeCell ref="B73:C73"/>
    <mergeCell ref="B74:C74"/>
    <mergeCell ref="A75:C75"/>
    <mergeCell ref="B76:C76"/>
    <mergeCell ref="B77:C77"/>
    <mergeCell ref="B78:C78"/>
    <mergeCell ref="A79:C79"/>
    <mergeCell ref="B80:C80"/>
    <mergeCell ref="B58:C58"/>
    <mergeCell ref="B59:C59"/>
    <mergeCell ref="B48:C48"/>
    <mergeCell ref="B49:C49"/>
    <mergeCell ref="B50:C50"/>
    <mergeCell ref="B51:C51"/>
    <mergeCell ref="B52:C52"/>
    <mergeCell ref="B53:C53"/>
    <mergeCell ref="B40:C40"/>
    <mergeCell ref="A41:C41"/>
    <mergeCell ref="A54:C54"/>
    <mergeCell ref="B55:C55"/>
    <mergeCell ref="B56:C56"/>
    <mergeCell ref="B57:C57"/>
    <mergeCell ref="B42:C42"/>
    <mergeCell ref="B43:C43"/>
    <mergeCell ref="B44:C44"/>
    <mergeCell ref="A45:C45"/>
    <mergeCell ref="B46:C46"/>
    <mergeCell ref="A47:C47"/>
    <mergeCell ref="B39:C39"/>
    <mergeCell ref="B25:C25"/>
    <mergeCell ref="A26:C26"/>
    <mergeCell ref="B27:C27"/>
    <mergeCell ref="A28:C28"/>
    <mergeCell ref="B29:C29"/>
    <mergeCell ref="B30:C30"/>
    <mergeCell ref="B37:C37"/>
    <mergeCell ref="B38:C38"/>
    <mergeCell ref="B31:C31"/>
    <mergeCell ref="B32:C32"/>
    <mergeCell ref="B34:C34"/>
    <mergeCell ref="B35:C35"/>
    <mergeCell ref="B33:C33"/>
    <mergeCell ref="B36:C36"/>
    <mergeCell ref="A1:C1"/>
    <mergeCell ref="B2:C2"/>
    <mergeCell ref="B3:C3"/>
    <mergeCell ref="A4:C4"/>
    <mergeCell ref="B5:C5"/>
    <mergeCell ref="B6:C6"/>
    <mergeCell ref="B22:C22"/>
    <mergeCell ref="B23:C23"/>
    <mergeCell ref="B24:C24"/>
    <mergeCell ref="B16:C16"/>
    <mergeCell ref="B17:C17"/>
    <mergeCell ref="B18:C18"/>
    <mergeCell ref="B7:C7"/>
    <mergeCell ref="B8:C8"/>
    <mergeCell ref="B9:C9"/>
    <mergeCell ref="B10:C10"/>
    <mergeCell ref="B11:C11"/>
    <mergeCell ref="B12:C12"/>
    <mergeCell ref="B19:C19"/>
    <mergeCell ref="B20:C20"/>
    <mergeCell ref="B21:C21"/>
    <mergeCell ref="B13:C13"/>
    <mergeCell ref="B14:C14"/>
    <mergeCell ref="B15:C15"/>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93913-EB3E-4496-B4F3-9E2B2A1140DB}">
  <dimension ref="A1:I50"/>
  <sheetViews>
    <sheetView topLeftCell="C36" zoomScaleNormal="100" workbookViewId="0">
      <selection activeCell="H45" sqref="C6:H45"/>
    </sheetView>
  </sheetViews>
  <sheetFormatPr defaultRowHeight="14.4" x14ac:dyDescent="0.3"/>
  <cols>
    <col min="2" max="2" width="66.5546875" customWidth="1"/>
    <col min="3" max="6" width="17.88671875" customWidth="1"/>
    <col min="7" max="7" width="19.109375" customWidth="1"/>
    <col min="8" max="8" width="17.88671875" customWidth="1"/>
    <col min="9" max="9" width="13" customWidth="1"/>
  </cols>
  <sheetData>
    <row r="1" spans="1:8" x14ac:dyDescent="0.3">
      <c r="A1" s="21" t="s">
        <v>41</v>
      </c>
      <c r="B1" s="22" t="str">
        <f>Info!C2</f>
        <v>სს სილქ ბანკი</v>
      </c>
      <c r="C1" s="23"/>
      <c r="D1" s="20"/>
      <c r="E1" s="20"/>
      <c r="F1" s="20"/>
      <c r="G1" s="20"/>
    </row>
    <row r="2" spans="1:8" x14ac:dyDescent="0.3">
      <c r="A2" s="21" t="s">
        <v>42</v>
      </c>
      <c r="B2" s="24">
        <f>'1. key ratios'!B2</f>
        <v>45199</v>
      </c>
      <c r="C2" s="23"/>
      <c r="D2" s="20"/>
      <c r="E2" s="20"/>
      <c r="F2" s="20"/>
      <c r="G2" s="20"/>
    </row>
    <row r="3" spans="1:8" ht="15" thickBot="1" x14ac:dyDescent="0.35">
      <c r="A3" s="21"/>
      <c r="B3" s="23"/>
      <c r="C3" s="23"/>
      <c r="D3" s="20"/>
      <c r="E3" s="20"/>
      <c r="F3" s="20"/>
      <c r="G3" s="20"/>
    </row>
    <row r="4" spans="1:8" ht="40.5" customHeight="1" x14ac:dyDescent="0.3">
      <c r="A4" s="829" t="s">
        <v>47</v>
      </c>
      <c r="B4" s="831" t="s">
        <v>14</v>
      </c>
      <c r="C4" s="833" t="s">
        <v>99</v>
      </c>
      <c r="D4" s="833"/>
      <c r="E4" s="833"/>
      <c r="F4" s="833" t="s">
        <v>100</v>
      </c>
      <c r="G4" s="833"/>
      <c r="H4" s="834"/>
    </row>
    <row r="5" spans="1:8" ht="15.6" customHeight="1" x14ac:dyDescent="0.3">
      <c r="A5" s="830"/>
      <c r="B5" s="832"/>
      <c r="C5" s="146" t="s">
        <v>101</v>
      </c>
      <c r="D5" s="146" t="s">
        <v>102</v>
      </c>
      <c r="E5" s="146" t="s">
        <v>103</v>
      </c>
      <c r="F5" s="146" t="s">
        <v>101</v>
      </c>
      <c r="G5" s="146" t="s">
        <v>102</v>
      </c>
      <c r="H5" s="146" t="s">
        <v>103</v>
      </c>
    </row>
    <row r="6" spans="1:8" x14ac:dyDescent="0.3">
      <c r="A6" s="113">
        <v>1</v>
      </c>
      <c r="B6" s="147" t="s">
        <v>165</v>
      </c>
      <c r="C6" s="148">
        <f>SUM(C7:C12)</f>
        <v>5268037.0899522649</v>
      </c>
      <c r="D6" s="148">
        <f>SUM(D7:D12)</f>
        <v>780846.73999999987</v>
      </c>
      <c r="E6" s="149">
        <f>C6+D6</f>
        <v>6048883.8299522651</v>
      </c>
      <c r="F6" s="148">
        <f>SUM(F7:F12)</f>
        <v>4097164.3070056252</v>
      </c>
      <c r="G6" s="148">
        <f>SUM(G7:G12)</f>
        <v>315962.05440196936</v>
      </c>
      <c r="H6" s="149">
        <f>F6+G6</f>
        <v>4413126.3614075948</v>
      </c>
    </row>
    <row r="7" spans="1:8" x14ac:dyDescent="0.3">
      <c r="A7" s="113">
        <v>1.1000000000000001</v>
      </c>
      <c r="B7" s="150" t="s">
        <v>109</v>
      </c>
      <c r="C7" s="148"/>
      <c r="D7" s="148"/>
      <c r="E7" s="149">
        <f t="shared" ref="E7:E45" si="0">C7+D7</f>
        <v>0</v>
      </c>
      <c r="F7" s="148"/>
      <c r="G7" s="148"/>
      <c r="H7" s="149">
        <f t="shared" ref="H7:H45" si="1">F7+G7</f>
        <v>0</v>
      </c>
    </row>
    <row r="8" spans="1:8" ht="20.399999999999999" x14ac:dyDescent="0.3">
      <c r="A8" s="113">
        <v>1.2</v>
      </c>
      <c r="B8" s="150" t="s">
        <v>166</v>
      </c>
      <c r="C8" s="148"/>
      <c r="D8" s="148"/>
      <c r="E8" s="149">
        <f t="shared" si="0"/>
        <v>0</v>
      </c>
      <c r="F8" s="148"/>
      <c r="G8" s="148"/>
      <c r="H8" s="149">
        <f t="shared" si="1"/>
        <v>0</v>
      </c>
    </row>
    <row r="9" spans="1:8" ht="21.6" customHeight="1" x14ac:dyDescent="0.3">
      <c r="A9" s="113">
        <v>1.3</v>
      </c>
      <c r="B9" s="140" t="s">
        <v>167</v>
      </c>
      <c r="C9" s="148"/>
      <c r="D9" s="148"/>
      <c r="E9" s="149">
        <f t="shared" si="0"/>
        <v>0</v>
      </c>
      <c r="F9" s="148"/>
      <c r="G9" s="148"/>
      <c r="H9" s="149">
        <f t="shared" si="1"/>
        <v>0</v>
      </c>
    </row>
    <row r="10" spans="1:8" ht="20.399999999999999" x14ac:dyDescent="0.3">
      <c r="A10" s="113">
        <v>1.4</v>
      </c>
      <c r="B10" s="140" t="s">
        <v>113</v>
      </c>
      <c r="C10" s="148"/>
      <c r="D10" s="148"/>
      <c r="E10" s="149">
        <f t="shared" si="0"/>
        <v>0</v>
      </c>
      <c r="F10" s="148"/>
      <c r="G10" s="148"/>
      <c r="H10" s="149">
        <f t="shared" si="1"/>
        <v>0</v>
      </c>
    </row>
    <row r="11" spans="1:8" x14ac:dyDescent="0.3">
      <c r="A11" s="113">
        <v>1.5</v>
      </c>
      <c r="B11" s="140" t="s">
        <v>117</v>
      </c>
      <c r="C11" s="148">
        <v>5268037.0899522649</v>
      </c>
      <c r="D11" s="148">
        <v>780846.73999999987</v>
      </c>
      <c r="E11" s="149">
        <f t="shared" si="0"/>
        <v>6048883.8299522651</v>
      </c>
      <c r="F11" s="148">
        <v>4097164.3070056252</v>
      </c>
      <c r="G11" s="148">
        <v>315962.05440196936</v>
      </c>
      <c r="H11" s="149">
        <f t="shared" si="1"/>
        <v>4413126.3614075948</v>
      </c>
    </row>
    <row r="12" spans="1:8" x14ac:dyDescent="0.3">
      <c r="A12" s="113">
        <v>1.6</v>
      </c>
      <c r="B12" s="141" t="s">
        <v>129</v>
      </c>
      <c r="C12" s="148"/>
      <c r="D12" s="148"/>
      <c r="E12" s="149">
        <f t="shared" si="0"/>
        <v>0</v>
      </c>
      <c r="F12" s="148"/>
      <c r="G12" s="148"/>
      <c r="H12" s="149">
        <f t="shared" si="1"/>
        <v>0</v>
      </c>
    </row>
    <row r="13" spans="1:8" x14ac:dyDescent="0.3">
      <c r="A13" s="113">
        <v>2</v>
      </c>
      <c r="B13" s="151" t="s">
        <v>168</v>
      </c>
      <c r="C13" s="148">
        <f>SUM(C14:C17)</f>
        <v>-2949161.4944196455</v>
      </c>
      <c r="D13" s="148">
        <f>SUM(D14:D17)</f>
        <v>-162994.7300000001</v>
      </c>
      <c r="E13" s="149">
        <f t="shared" si="0"/>
        <v>-3112156.2244196455</v>
      </c>
      <c r="F13" s="148">
        <f>SUM(F14:F17)</f>
        <v>-1921487.9005802989</v>
      </c>
      <c r="G13" s="148">
        <f>SUM(G14:G17)</f>
        <v>-3757.8999999999742</v>
      </c>
      <c r="H13" s="149">
        <f t="shared" si="1"/>
        <v>-1925245.8005802988</v>
      </c>
    </row>
    <row r="14" spans="1:8" x14ac:dyDescent="0.3">
      <c r="A14" s="113">
        <v>2.1</v>
      </c>
      <c r="B14" s="140" t="s">
        <v>169</v>
      </c>
      <c r="C14" s="148"/>
      <c r="D14" s="148"/>
      <c r="E14" s="149">
        <f t="shared" si="0"/>
        <v>0</v>
      </c>
      <c r="F14" s="148"/>
      <c r="G14" s="148"/>
      <c r="H14" s="149">
        <f t="shared" si="1"/>
        <v>0</v>
      </c>
    </row>
    <row r="15" spans="1:8" ht="24.6" customHeight="1" x14ac:dyDescent="0.3">
      <c r="A15" s="113">
        <v>2.2000000000000002</v>
      </c>
      <c r="B15" s="140" t="s">
        <v>170</v>
      </c>
      <c r="C15" s="148"/>
      <c r="D15" s="148"/>
      <c r="E15" s="149">
        <f t="shared" si="0"/>
        <v>0</v>
      </c>
      <c r="F15" s="148"/>
      <c r="G15" s="148"/>
      <c r="H15" s="149">
        <f t="shared" si="1"/>
        <v>0</v>
      </c>
    </row>
    <row r="16" spans="1:8" ht="20.399999999999999" customHeight="1" x14ac:dyDescent="0.3">
      <c r="A16" s="113">
        <v>2.2999999999999998</v>
      </c>
      <c r="B16" s="140" t="s">
        <v>171</v>
      </c>
      <c r="C16" s="148">
        <v>-2949161.4944196455</v>
      </c>
      <c r="D16" s="148">
        <v>-162994.7300000001</v>
      </c>
      <c r="E16" s="149">
        <f t="shared" si="0"/>
        <v>-3112156.2244196455</v>
      </c>
      <c r="F16" s="148">
        <v>-1921487.9005802989</v>
      </c>
      <c r="G16" s="148">
        <v>-3757.8999999999742</v>
      </c>
      <c r="H16" s="149">
        <f t="shared" si="1"/>
        <v>-1925245.8005802988</v>
      </c>
    </row>
    <row r="17" spans="1:9" x14ac:dyDescent="0.3">
      <c r="A17" s="113">
        <v>2.4</v>
      </c>
      <c r="B17" s="140" t="s">
        <v>172</v>
      </c>
      <c r="C17" s="148"/>
      <c r="D17" s="148"/>
      <c r="E17" s="149">
        <f t="shared" si="0"/>
        <v>0</v>
      </c>
      <c r="F17" s="148"/>
      <c r="G17" s="148"/>
      <c r="H17" s="149">
        <f t="shared" si="1"/>
        <v>0</v>
      </c>
    </row>
    <row r="18" spans="1:9" x14ac:dyDescent="0.3">
      <c r="A18" s="113">
        <v>3</v>
      </c>
      <c r="B18" s="151" t="s">
        <v>173</v>
      </c>
      <c r="C18" s="148"/>
      <c r="D18" s="148"/>
      <c r="E18" s="149">
        <f t="shared" si="0"/>
        <v>0</v>
      </c>
      <c r="F18" s="148"/>
      <c r="G18" s="148"/>
      <c r="H18" s="149">
        <f t="shared" si="1"/>
        <v>0</v>
      </c>
    </row>
    <row r="19" spans="1:9" x14ac:dyDescent="0.3">
      <c r="A19" s="113">
        <v>4</v>
      </c>
      <c r="B19" s="151" t="s">
        <v>174</v>
      </c>
      <c r="C19" s="148">
        <v>185193.09999999998</v>
      </c>
      <c r="D19" s="148">
        <v>91354.84</v>
      </c>
      <c r="E19" s="149">
        <f t="shared" si="0"/>
        <v>276547.93999999994</v>
      </c>
      <c r="F19" s="148">
        <v>130939.40000000002</v>
      </c>
      <c r="G19" s="148">
        <v>20344.46</v>
      </c>
      <c r="H19" s="149">
        <f t="shared" si="1"/>
        <v>151283.86000000002</v>
      </c>
    </row>
    <row r="20" spans="1:9" x14ac:dyDescent="0.3">
      <c r="A20" s="113">
        <v>5</v>
      </c>
      <c r="B20" s="151" t="s">
        <v>175</v>
      </c>
      <c r="C20" s="148">
        <v>-66635.899999999994</v>
      </c>
      <c r="D20" s="148">
        <v>-73836.679999999993</v>
      </c>
      <c r="E20" s="149">
        <f t="shared" si="0"/>
        <v>-140472.57999999999</v>
      </c>
      <c r="F20" s="148">
        <v>-34404.250000000015</v>
      </c>
      <c r="G20" s="148">
        <v>-30767.040000000008</v>
      </c>
      <c r="H20" s="149">
        <f t="shared" si="1"/>
        <v>-65171.290000000023</v>
      </c>
    </row>
    <row r="21" spans="1:9" ht="38.4" customHeight="1" x14ac:dyDescent="0.3">
      <c r="A21" s="113">
        <v>6</v>
      </c>
      <c r="B21" s="151" t="s">
        <v>176</v>
      </c>
      <c r="C21" s="148"/>
      <c r="D21" s="148"/>
      <c r="E21" s="149">
        <f t="shared" si="0"/>
        <v>0</v>
      </c>
      <c r="F21" s="148"/>
      <c r="G21" s="148"/>
      <c r="H21" s="149">
        <f t="shared" si="1"/>
        <v>0</v>
      </c>
    </row>
    <row r="22" spans="1:9" ht="27.6" customHeight="1" x14ac:dyDescent="0.3">
      <c r="A22" s="113">
        <v>7</v>
      </c>
      <c r="B22" s="152" t="s">
        <v>177</v>
      </c>
      <c r="C22" s="148"/>
      <c r="D22" s="148"/>
      <c r="E22" s="149">
        <f t="shared" si="0"/>
        <v>0</v>
      </c>
      <c r="F22" s="148"/>
      <c r="G22" s="148"/>
      <c r="H22" s="149">
        <f t="shared" si="1"/>
        <v>0</v>
      </c>
    </row>
    <row r="23" spans="1:9" ht="36.9" customHeight="1" x14ac:dyDescent="0.3">
      <c r="A23" s="113">
        <v>8</v>
      </c>
      <c r="B23" s="153" t="s">
        <v>178</v>
      </c>
      <c r="C23" s="148"/>
      <c r="D23" s="148"/>
      <c r="E23" s="149">
        <f t="shared" si="0"/>
        <v>0</v>
      </c>
      <c r="F23" s="148"/>
      <c r="G23" s="148"/>
      <c r="H23" s="149">
        <f t="shared" si="1"/>
        <v>0</v>
      </c>
    </row>
    <row r="24" spans="1:9" ht="34.5" customHeight="1" x14ac:dyDescent="0.3">
      <c r="A24" s="113">
        <v>9</v>
      </c>
      <c r="B24" s="153" t="s">
        <v>179</v>
      </c>
      <c r="C24" s="148"/>
      <c r="D24" s="148"/>
      <c r="E24" s="149">
        <f t="shared" si="0"/>
        <v>0</v>
      </c>
      <c r="F24" s="148"/>
      <c r="G24" s="148"/>
      <c r="H24" s="149">
        <f t="shared" si="1"/>
        <v>0</v>
      </c>
    </row>
    <row r="25" spans="1:9" x14ac:dyDescent="0.3">
      <c r="A25" s="113">
        <v>10</v>
      </c>
      <c r="B25" s="151" t="s">
        <v>180</v>
      </c>
      <c r="C25" s="148">
        <v>449175.32519284263</v>
      </c>
      <c r="D25" s="148">
        <v>0</v>
      </c>
      <c r="E25" s="149">
        <f t="shared" si="0"/>
        <v>449175.32519284263</v>
      </c>
      <c r="F25" s="148">
        <v>-191156.01111319289</v>
      </c>
      <c r="G25" s="148">
        <v>0</v>
      </c>
      <c r="H25" s="149">
        <f t="shared" si="1"/>
        <v>-191156.01111319289</v>
      </c>
    </row>
    <row r="26" spans="1:9" ht="27" customHeight="1" x14ac:dyDescent="0.3">
      <c r="A26" s="113">
        <v>11</v>
      </c>
      <c r="B26" s="154" t="s">
        <v>181</v>
      </c>
      <c r="C26" s="148">
        <v>-23368.640438376908</v>
      </c>
      <c r="D26" s="148">
        <v>0</v>
      </c>
      <c r="E26" s="149">
        <f t="shared" si="0"/>
        <v>-23368.640438376908</v>
      </c>
      <c r="F26" s="148">
        <v>50299.245406844704</v>
      </c>
      <c r="G26" s="148">
        <v>0</v>
      </c>
      <c r="H26" s="149">
        <f t="shared" si="1"/>
        <v>50299.245406844704</v>
      </c>
    </row>
    <row r="27" spans="1:9" x14ac:dyDescent="0.3">
      <c r="A27" s="113">
        <v>12</v>
      </c>
      <c r="B27" s="151" t="s">
        <v>182</v>
      </c>
      <c r="C27" s="148">
        <v>45438.319933003178</v>
      </c>
      <c r="D27" s="148">
        <v>0</v>
      </c>
      <c r="E27" s="149">
        <f t="shared" si="0"/>
        <v>45438.319933003178</v>
      </c>
      <c r="F27" s="155">
        <v>2.3200000000000003</v>
      </c>
      <c r="G27" s="156">
        <v>0.18</v>
      </c>
      <c r="H27" s="149">
        <f t="shared" si="1"/>
        <v>2.5000000000000004</v>
      </c>
    </row>
    <row r="28" spans="1:9" x14ac:dyDescent="0.3">
      <c r="A28" s="113">
        <v>13</v>
      </c>
      <c r="B28" s="157" t="s">
        <v>183</v>
      </c>
      <c r="C28" s="148">
        <v>-8719.6399330000004</v>
      </c>
      <c r="D28" s="148">
        <v>0</v>
      </c>
      <c r="E28" s="149">
        <f t="shared" si="0"/>
        <v>-8719.6399330000004</v>
      </c>
      <c r="F28" s="156">
        <v>-4729.2736460000006</v>
      </c>
      <c r="G28" s="156">
        <v>0</v>
      </c>
      <c r="H28" s="149">
        <f t="shared" si="1"/>
        <v>-4729.2736460000006</v>
      </c>
    </row>
    <row r="29" spans="1:9" x14ac:dyDescent="0.3">
      <c r="A29" s="113">
        <v>14</v>
      </c>
      <c r="B29" s="158" t="s">
        <v>184</v>
      </c>
      <c r="C29" s="148">
        <f>SUM(C30:C31)</f>
        <v>-6335907.620000001</v>
      </c>
      <c r="D29" s="148">
        <f>SUM(D30:D31)</f>
        <v>-766302.59000000008</v>
      </c>
      <c r="E29" s="149">
        <f t="shared" si="0"/>
        <v>-7102210.2100000009</v>
      </c>
      <c r="F29" s="156">
        <f>SUM(F30:F31)</f>
        <v>-4218384.6731383875</v>
      </c>
      <c r="G29" s="156">
        <f>SUM(G30:G31)</f>
        <v>-561639.14</v>
      </c>
      <c r="H29" s="159">
        <f t="shared" si="1"/>
        <v>-4780023.8131383872</v>
      </c>
    </row>
    <row r="30" spans="1:9" x14ac:dyDescent="0.3">
      <c r="A30" s="113">
        <v>14.1</v>
      </c>
      <c r="B30" s="131" t="s">
        <v>185</v>
      </c>
      <c r="C30" s="148">
        <v>-4549947.7100000009</v>
      </c>
      <c r="D30" s="148">
        <v>0</v>
      </c>
      <c r="E30" s="149">
        <f t="shared" si="0"/>
        <v>-4549947.7100000009</v>
      </c>
      <c r="F30" s="156">
        <v>-2707810.27</v>
      </c>
      <c r="G30" s="156">
        <v>0</v>
      </c>
      <c r="H30" s="159">
        <f t="shared" si="1"/>
        <v>-2707810.27</v>
      </c>
    </row>
    <row r="31" spans="1:9" x14ac:dyDescent="0.3">
      <c r="A31" s="113">
        <v>14.2</v>
      </c>
      <c r="B31" s="131" t="s">
        <v>186</v>
      </c>
      <c r="C31" s="148">
        <v>-1785959.9100000001</v>
      </c>
      <c r="D31" s="148">
        <v>-766302.59000000008</v>
      </c>
      <c r="E31" s="149">
        <f t="shared" si="0"/>
        <v>-2552262.5</v>
      </c>
      <c r="F31" s="156">
        <v>-1510574.4031383872</v>
      </c>
      <c r="G31" s="156">
        <v>-561639.14</v>
      </c>
      <c r="H31" s="159">
        <f t="shared" si="1"/>
        <v>-2072213.5431383871</v>
      </c>
      <c r="I31" s="138"/>
    </row>
    <row r="32" spans="1:9" x14ac:dyDescent="0.3">
      <c r="A32" s="113">
        <v>15</v>
      </c>
      <c r="B32" s="160" t="s">
        <v>187</v>
      </c>
      <c r="C32" s="148">
        <v>-691073.67000000016</v>
      </c>
      <c r="D32" s="148">
        <v>0</v>
      </c>
      <c r="E32" s="149">
        <f t="shared" si="0"/>
        <v>-691073.67000000016</v>
      </c>
      <c r="F32" s="156">
        <v>-517829.16000000009</v>
      </c>
      <c r="G32" s="156">
        <v>0</v>
      </c>
      <c r="H32" s="159">
        <f t="shared" si="1"/>
        <v>-517829.16000000009</v>
      </c>
    </row>
    <row r="33" spans="1:9" ht="22.5" customHeight="1" x14ac:dyDescent="0.3">
      <c r="A33" s="113">
        <v>16</v>
      </c>
      <c r="B33" s="125" t="s">
        <v>188</v>
      </c>
      <c r="C33" s="148"/>
      <c r="D33" s="148"/>
      <c r="E33" s="149">
        <f t="shared" si="0"/>
        <v>0</v>
      </c>
      <c r="F33" s="148"/>
      <c r="G33" s="148"/>
      <c r="H33" s="149">
        <f t="shared" si="1"/>
        <v>0</v>
      </c>
    </row>
    <row r="34" spans="1:9" x14ac:dyDescent="0.3">
      <c r="A34" s="113">
        <v>17</v>
      </c>
      <c r="B34" s="151" t="s">
        <v>189</v>
      </c>
      <c r="C34" s="148">
        <f>SUM(C35:C36)</f>
        <v>-13419.621366910882</v>
      </c>
      <c r="D34" s="148">
        <f>SUM(D35:D36)</f>
        <v>-40010.03619973865</v>
      </c>
      <c r="E34" s="149">
        <f t="shared" si="0"/>
        <v>-53429.657566649534</v>
      </c>
      <c r="F34" s="148">
        <f>SUM(F35:F36)</f>
        <v>-5239.9999999999854</v>
      </c>
      <c r="G34" s="148">
        <f>SUM(G35:G36)</f>
        <v>-20152.846241765299</v>
      </c>
      <c r="H34" s="149">
        <f t="shared" si="1"/>
        <v>-25392.846241765285</v>
      </c>
    </row>
    <row r="35" spans="1:9" x14ac:dyDescent="0.3">
      <c r="A35" s="113">
        <v>17.100000000000001</v>
      </c>
      <c r="B35" s="161" t="s">
        <v>190</v>
      </c>
      <c r="C35" s="148">
        <v>-13419.621366910882</v>
      </c>
      <c r="D35" s="148">
        <v>-40010.03619973865</v>
      </c>
      <c r="E35" s="149">
        <f t="shared" si="0"/>
        <v>-53429.657566649534</v>
      </c>
      <c r="F35" s="148">
        <v>-5239.9999999999854</v>
      </c>
      <c r="G35" s="148">
        <v>-20152.846241765299</v>
      </c>
      <c r="H35" s="149">
        <f t="shared" si="1"/>
        <v>-25392.846241765285</v>
      </c>
    </row>
    <row r="36" spans="1:9" x14ac:dyDescent="0.3">
      <c r="A36" s="113">
        <v>17.2</v>
      </c>
      <c r="B36" s="131" t="s">
        <v>191</v>
      </c>
      <c r="C36" s="148"/>
      <c r="D36" s="148"/>
      <c r="E36" s="149">
        <f t="shared" si="0"/>
        <v>0</v>
      </c>
      <c r="F36" s="148"/>
      <c r="G36" s="148"/>
      <c r="H36" s="149">
        <f t="shared" si="1"/>
        <v>0</v>
      </c>
    </row>
    <row r="37" spans="1:9" ht="41.4" customHeight="1" x14ac:dyDescent="0.3">
      <c r="A37" s="113">
        <v>18</v>
      </c>
      <c r="B37" s="162" t="s">
        <v>192</v>
      </c>
      <c r="C37" s="148">
        <f>SUM(C38:C39)</f>
        <v>-166875.34934005243</v>
      </c>
      <c r="D37" s="148">
        <f>SUM(D38:D39)</f>
        <v>39482.242998604052</v>
      </c>
      <c r="E37" s="149">
        <f t="shared" si="0"/>
        <v>-127393.10634144838</v>
      </c>
      <c r="F37" s="163">
        <f>SUM(F38:F39)</f>
        <v>233166.47657351516</v>
      </c>
      <c r="G37" s="163">
        <f>SUM(G38:G39)</f>
        <v>32733.140000000014</v>
      </c>
      <c r="H37" s="149">
        <f t="shared" si="1"/>
        <v>265899.61657351517</v>
      </c>
    </row>
    <row r="38" spans="1:9" ht="20.399999999999999" x14ac:dyDescent="0.3">
      <c r="A38" s="113">
        <v>18.100000000000001</v>
      </c>
      <c r="B38" s="140" t="s">
        <v>193</v>
      </c>
      <c r="C38" s="148"/>
      <c r="D38" s="148"/>
      <c r="E38" s="149">
        <f t="shared" si="0"/>
        <v>0</v>
      </c>
      <c r="F38" s="163"/>
      <c r="G38" s="163"/>
      <c r="H38" s="149">
        <f t="shared" si="1"/>
        <v>0</v>
      </c>
    </row>
    <row r="39" spans="1:9" x14ac:dyDescent="0.3">
      <c r="A39" s="113">
        <v>18.2</v>
      </c>
      <c r="B39" s="140" t="s">
        <v>194</v>
      </c>
      <c r="C39" s="148">
        <v>-166875.34934005243</v>
      </c>
      <c r="D39" s="148">
        <v>39482.242998604052</v>
      </c>
      <c r="E39" s="149">
        <f t="shared" si="0"/>
        <v>-127393.10634144838</v>
      </c>
      <c r="F39" s="164">
        <v>233166.47657351516</v>
      </c>
      <c r="G39" s="163">
        <v>32733.140000000014</v>
      </c>
      <c r="H39" s="149">
        <f t="shared" si="1"/>
        <v>265899.61657351517</v>
      </c>
    </row>
    <row r="40" spans="1:9" ht="24.6" customHeight="1" x14ac:dyDescent="0.3">
      <c r="A40" s="113">
        <v>19</v>
      </c>
      <c r="B40" s="162" t="s">
        <v>195</v>
      </c>
      <c r="C40" s="148"/>
      <c r="D40" s="148"/>
      <c r="E40" s="149">
        <f t="shared" si="0"/>
        <v>0</v>
      </c>
      <c r="F40" s="148"/>
      <c r="G40" s="148"/>
      <c r="H40" s="149">
        <f t="shared" si="1"/>
        <v>0</v>
      </c>
    </row>
    <row r="41" spans="1:9" ht="24.9" customHeight="1" x14ac:dyDescent="0.3">
      <c r="A41" s="113">
        <v>20</v>
      </c>
      <c r="B41" s="162" t="s">
        <v>196</v>
      </c>
      <c r="C41" s="148">
        <v>159729.28678434156</v>
      </c>
      <c r="D41" s="148">
        <v>0</v>
      </c>
      <c r="E41" s="149">
        <f t="shared" si="0"/>
        <v>159729.28678434156</v>
      </c>
      <c r="F41" s="148"/>
      <c r="G41" s="148">
        <v>0</v>
      </c>
      <c r="H41" s="149">
        <f t="shared" si="1"/>
        <v>0</v>
      </c>
    </row>
    <row r="42" spans="1:9" ht="33" customHeight="1" x14ac:dyDescent="0.3">
      <c r="A42" s="113">
        <v>21</v>
      </c>
      <c r="B42" s="165" t="s">
        <v>197</v>
      </c>
      <c r="C42" s="148"/>
      <c r="D42" s="148"/>
      <c r="E42" s="149">
        <f t="shared" si="0"/>
        <v>0</v>
      </c>
      <c r="F42" s="148"/>
      <c r="G42" s="148"/>
      <c r="H42" s="149">
        <f t="shared" si="1"/>
        <v>0</v>
      </c>
    </row>
    <row r="43" spans="1:9" x14ac:dyDescent="0.3">
      <c r="A43" s="113">
        <v>22</v>
      </c>
      <c r="B43" s="166" t="s">
        <v>198</v>
      </c>
      <c r="C43" s="148">
        <f>SUM(C6,C13,C18,C19,C20,C21,C22,C23,C24,C25,C26,C27,C28,C29,C32,C33,C34,C37,C40,C41,C42)</f>
        <v>-4147588.8136355346</v>
      </c>
      <c r="D43" s="148">
        <f>SUM(D6,D13,D18,D19,D20,D21,D22,D23,D24,D25,D26,D27,D28,D29,D32,D33,D34,D37,D40,D41,D42)</f>
        <v>-131460.21320113499</v>
      </c>
      <c r="E43" s="149">
        <f t="shared" si="0"/>
        <v>-4279049.02683667</v>
      </c>
      <c r="F43" s="148">
        <f>SUM(F6,F13,F18,F19,F20,F21,F22,F23,F24,F25,F26,F27,F28,F29,F32,F33,F34,F37,F40,F41,F42)</f>
        <v>-2381659.5194918946</v>
      </c>
      <c r="G43" s="148">
        <f>SUM(G6,G13,G18,G19,G20,G21,G22,G23,G24,G25,G26,G27,G28,G29,G32,G33,G34,G37,G40,G41,G42)</f>
        <v>-247277.09183979587</v>
      </c>
      <c r="H43" s="149">
        <f t="shared" si="1"/>
        <v>-2628936.6113316906</v>
      </c>
    </row>
    <row r="44" spans="1:9" x14ac:dyDescent="0.3">
      <c r="A44" s="113">
        <v>23</v>
      </c>
      <c r="B44" s="166" t="s">
        <v>199</v>
      </c>
      <c r="C44" s="148">
        <v>38852.770044593854</v>
      </c>
      <c r="D44" s="148"/>
      <c r="E44" s="149">
        <f t="shared" si="0"/>
        <v>38852.770044593854</v>
      </c>
      <c r="F44" s="148"/>
      <c r="G44" s="148"/>
      <c r="H44" s="149">
        <f t="shared" si="1"/>
        <v>0</v>
      </c>
    </row>
    <row r="45" spans="1:9" x14ac:dyDescent="0.3">
      <c r="A45" s="113">
        <v>24</v>
      </c>
      <c r="B45" s="166" t="s">
        <v>200</v>
      </c>
      <c r="C45" s="148">
        <f>C43-C44</f>
        <v>-4186441.5836801287</v>
      </c>
      <c r="D45" s="148">
        <f>D43-D44</f>
        <v>-131460.21320113499</v>
      </c>
      <c r="E45" s="149">
        <f t="shared" si="0"/>
        <v>-4317901.7968812641</v>
      </c>
      <c r="F45" s="148">
        <f>F43-F44</f>
        <v>-2381659.5194918946</v>
      </c>
      <c r="G45" s="148">
        <f>G43-G44</f>
        <v>-247277.09183979587</v>
      </c>
      <c r="H45" s="149">
        <f t="shared" si="1"/>
        <v>-2628936.6113316906</v>
      </c>
    </row>
    <row r="48" spans="1:9" s="25" customFormat="1" x14ac:dyDescent="0.3">
      <c r="A48"/>
      <c r="B48"/>
      <c r="C48"/>
      <c r="D48"/>
      <c r="E48"/>
      <c r="F48"/>
      <c r="G48"/>
      <c r="H48" s="138"/>
      <c r="I48"/>
    </row>
    <row r="50" spans="1:9" s="25" customFormat="1" x14ac:dyDescent="0.3">
      <c r="A50"/>
      <c r="B50"/>
      <c r="C50" s="134"/>
      <c r="D50" s="134"/>
      <c r="E50" s="134"/>
      <c r="F50" s="134"/>
      <c r="G50" s="134"/>
      <c r="H50" s="134"/>
      <c r="I50"/>
    </row>
  </sheetData>
  <mergeCells count="4">
    <mergeCell ref="A4:A5"/>
    <mergeCell ref="B4:B5"/>
    <mergeCell ref="C4:E4"/>
    <mergeCell ref="F4:H4"/>
  </mergeCells>
  <pageMargins left="0.7" right="0.7" top="0.75" bottom="0.75" header="0.3" footer="0.3"/>
  <pageSetup paperSize="0" orientation="portrait" horizontalDpi="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55C6-CF31-4848-B6B3-C3DB8AEFD688}">
  <dimension ref="A1:J47"/>
  <sheetViews>
    <sheetView topLeftCell="A33" zoomScaleNormal="100" workbookViewId="0">
      <selection activeCell="C43" sqref="C6:H43"/>
    </sheetView>
  </sheetViews>
  <sheetFormatPr defaultRowHeight="14.4" x14ac:dyDescent="0.3"/>
  <cols>
    <col min="1" max="1" width="9.109375" style="144"/>
    <col min="2" max="2" width="87.5546875" bestFit="1" customWidth="1"/>
    <col min="3" max="3" width="16.44140625" customWidth="1"/>
    <col min="4" max="4" width="16.33203125" customWidth="1"/>
    <col min="5" max="5" width="12.6640625" customWidth="1"/>
    <col min="6" max="7" width="14.33203125" customWidth="1"/>
    <col min="8" max="8" width="12.6640625" customWidth="1"/>
  </cols>
  <sheetData>
    <row r="1" spans="1:8" x14ac:dyDescent="0.3">
      <c r="A1" s="21" t="s">
        <v>41</v>
      </c>
      <c r="B1" s="22" t="str">
        <f>Info!C2</f>
        <v>სს სილქ ბანკი</v>
      </c>
      <c r="C1" s="23"/>
      <c r="D1" s="20"/>
      <c r="E1" s="20"/>
      <c r="F1" s="20"/>
      <c r="G1" s="20"/>
    </row>
    <row r="2" spans="1:8" x14ac:dyDescent="0.3">
      <c r="A2" s="21" t="s">
        <v>42</v>
      </c>
      <c r="B2" s="24">
        <f>'1. key ratios'!B2</f>
        <v>45199</v>
      </c>
      <c r="C2" s="23"/>
      <c r="D2" s="20"/>
      <c r="E2" s="20"/>
      <c r="F2" s="20"/>
      <c r="G2" s="20"/>
    </row>
    <row r="3" spans="1:8" ht="15" thickBot="1" x14ac:dyDescent="0.35">
      <c r="A3" s="21"/>
      <c r="B3" s="23"/>
      <c r="C3" s="23"/>
      <c r="D3" s="20"/>
      <c r="E3" s="20"/>
      <c r="F3" s="20"/>
      <c r="G3" s="20"/>
    </row>
    <row r="4" spans="1:8" x14ac:dyDescent="0.3">
      <c r="A4" s="821" t="s">
        <v>47</v>
      </c>
      <c r="B4" s="835" t="s">
        <v>201</v>
      </c>
      <c r="C4" s="836" t="s">
        <v>99</v>
      </c>
      <c r="D4" s="836"/>
      <c r="E4" s="836"/>
      <c r="F4" s="836" t="s">
        <v>100</v>
      </c>
      <c r="G4" s="836"/>
      <c r="H4" s="837"/>
    </row>
    <row r="5" spans="1:8" x14ac:dyDescent="0.3">
      <c r="A5" s="821"/>
      <c r="B5" s="835"/>
      <c r="C5" s="146" t="s">
        <v>101</v>
      </c>
      <c r="D5" s="146" t="s">
        <v>102</v>
      </c>
      <c r="E5" s="146" t="s">
        <v>103</v>
      </c>
      <c r="F5" s="146" t="s">
        <v>101</v>
      </c>
      <c r="G5" s="146" t="s">
        <v>102</v>
      </c>
      <c r="H5" s="168" t="s">
        <v>103</v>
      </c>
    </row>
    <row r="6" spans="1:8" x14ac:dyDescent="0.3">
      <c r="A6" s="116">
        <v>1</v>
      </c>
      <c r="B6" s="169" t="s">
        <v>202</v>
      </c>
      <c r="C6" s="170">
        <v>0</v>
      </c>
      <c r="D6" s="170">
        <v>0</v>
      </c>
      <c r="E6" s="171">
        <f t="shared" ref="E6:E43" si="0">C6+D6</f>
        <v>0</v>
      </c>
      <c r="F6" s="170">
        <v>0</v>
      </c>
      <c r="G6" s="170">
        <v>0</v>
      </c>
      <c r="H6" s="172">
        <f t="shared" ref="H6:H43" si="1">F6+G6</f>
        <v>0</v>
      </c>
    </row>
    <row r="7" spans="1:8" x14ac:dyDescent="0.3">
      <c r="A7" s="116">
        <v>2</v>
      </c>
      <c r="B7" s="169" t="s">
        <v>203</v>
      </c>
      <c r="C7" s="170">
        <v>0</v>
      </c>
      <c r="D7" s="170">
        <v>0</v>
      </c>
      <c r="E7" s="171">
        <f t="shared" si="0"/>
        <v>0</v>
      </c>
      <c r="F7" s="170">
        <v>0</v>
      </c>
      <c r="G7" s="170">
        <v>0</v>
      </c>
      <c r="H7" s="172">
        <f t="shared" si="1"/>
        <v>0</v>
      </c>
    </row>
    <row r="8" spans="1:8" x14ac:dyDescent="0.3">
      <c r="A8" s="116">
        <v>3</v>
      </c>
      <c r="B8" s="169" t="s">
        <v>204</v>
      </c>
      <c r="C8" s="170">
        <f>C9+C10</f>
        <v>245000</v>
      </c>
      <c r="D8" s="170">
        <f>D9+D10</f>
        <v>227119840</v>
      </c>
      <c r="E8" s="171">
        <f t="shared" si="0"/>
        <v>227364840</v>
      </c>
      <c r="F8" s="170">
        <f>F9+F10</f>
        <v>191000</v>
      </c>
      <c r="G8" s="170">
        <f>G9+G10</f>
        <v>14459520</v>
      </c>
      <c r="H8" s="172">
        <f t="shared" si="1"/>
        <v>14650520</v>
      </c>
    </row>
    <row r="9" spans="1:8" x14ac:dyDescent="0.3">
      <c r="A9" s="116">
        <v>3.1</v>
      </c>
      <c r="B9" s="173" t="s">
        <v>205</v>
      </c>
      <c r="C9" s="170">
        <v>245000</v>
      </c>
      <c r="D9" s="170">
        <v>227119840</v>
      </c>
      <c r="E9" s="171">
        <f t="shared" si="0"/>
        <v>227364840</v>
      </c>
      <c r="F9" s="170">
        <v>191000</v>
      </c>
      <c r="G9" s="170">
        <v>14459520</v>
      </c>
      <c r="H9" s="172">
        <f t="shared" si="1"/>
        <v>14650520</v>
      </c>
    </row>
    <row r="10" spans="1:8" x14ac:dyDescent="0.3">
      <c r="A10" s="116">
        <v>3.2</v>
      </c>
      <c r="B10" s="173" t="s">
        <v>206</v>
      </c>
      <c r="C10" s="170">
        <v>0</v>
      </c>
      <c r="D10" s="170">
        <v>0</v>
      </c>
      <c r="E10" s="171">
        <f t="shared" si="0"/>
        <v>0</v>
      </c>
      <c r="F10" s="170">
        <v>0</v>
      </c>
      <c r="G10" s="170">
        <v>0</v>
      </c>
      <c r="H10" s="172">
        <f t="shared" si="1"/>
        <v>0</v>
      </c>
    </row>
    <row r="11" spans="1:8" x14ac:dyDescent="0.3">
      <c r="A11" s="116">
        <v>4</v>
      </c>
      <c r="B11" s="169" t="s">
        <v>207</v>
      </c>
      <c r="C11" s="170">
        <f>C12+C13</f>
        <v>0</v>
      </c>
      <c r="D11" s="170">
        <f>D12+D13</f>
        <v>0</v>
      </c>
      <c r="E11" s="171">
        <f t="shared" si="0"/>
        <v>0</v>
      </c>
      <c r="F11" s="170">
        <f>F12+F13</f>
        <v>17145000</v>
      </c>
      <c r="G11" s="170">
        <f>G12+G13</f>
        <v>0</v>
      </c>
      <c r="H11" s="172">
        <f t="shared" si="1"/>
        <v>17145000</v>
      </c>
    </row>
    <row r="12" spans="1:8" x14ac:dyDescent="0.3">
      <c r="A12" s="116">
        <v>4.0999999999999996</v>
      </c>
      <c r="B12" s="173" t="s">
        <v>208</v>
      </c>
      <c r="C12" s="170">
        <v>0</v>
      </c>
      <c r="D12" s="170">
        <v>0</v>
      </c>
      <c r="E12" s="171">
        <f t="shared" si="0"/>
        <v>0</v>
      </c>
      <c r="F12" s="170">
        <v>17145000</v>
      </c>
      <c r="G12" s="170">
        <v>0</v>
      </c>
      <c r="H12" s="172">
        <f t="shared" si="1"/>
        <v>17145000</v>
      </c>
    </row>
    <row r="13" spans="1:8" x14ac:dyDescent="0.3">
      <c r="A13" s="116">
        <v>4.2</v>
      </c>
      <c r="B13" s="173" t="s">
        <v>209</v>
      </c>
      <c r="C13" s="170">
        <v>0</v>
      </c>
      <c r="D13" s="170">
        <v>0</v>
      </c>
      <c r="E13" s="171">
        <f t="shared" si="0"/>
        <v>0</v>
      </c>
      <c r="F13" s="170">
        <v>0</v>
      </c>
      <c r="G13" s="170">
        <v>0</v>
      </c>
      <c r="H13" s="172">
        <f t="shared" si="1"/>
        <v>0</v>
      </c>
    </row>
    <row r="14" spans="1:8" x14ac:dyDescent="0.3">
      <c r="A14" s="116">
        <v>5</v>
      </c>
      <c r="B14" s="174" t="s">
        <v>210</v>
      </c>
      <c r="C14" s="170">
        <f>C15+C16+C17+C23+C24+C25+C26</f>
        <v>867000</v>
      </c>
      <c r="D14" s="170">
        <f>D15+D16+D17+D23+D24+D25+D26</f>
        <v>53025270.909999996</v>
      </c>
      <c r="E14" s="171">
        <f t="shared" si="0"/>
        <v>53892270.909999996</v>
      </c>
      <c r="F14" s="170">
        <f>F15+F16+F17+F23+F24+F25+F26</f>
        <v>4658139.09</v>
      </c>
      <c r="G14" s="170">
        <f>G15+G16+G17+G23+G24+G25+G26</f>
        <v>35404816.210000001</v>
      </c>
      <c r="H14" s="172">
        <f t="shared" si="1"/>
        <v>40062955.299999997</v>
      </c>
    </row>
    <row r="15" spans="1:8" x14ac:dyDescent="0.3">
      <c r="A15" s="116">
        <v>5.0999999999999996</v>
      </c>
      <c r="B15" s="175" t="s">
        <v>211</v>
      </c>
      <c r="C15" s="170">
        <v>852000</v>
      </c>
      <c r="D15" s="170">
        <v>2870223.57</v>
      </c>
      <c r="E15" s="171">
        <f t="shared" si="0"/>
        <v>3722223.57</v>
      </c>
      <c r="F15" s="170">
        <v>1476000</v>
      </c>
      <c r="G15" s="170">
        <v>34022.400000000001</v>
      </c>
      <c r="H15" s="172">
        <f t="shared" si="1"/>
        <v>1510022.4</v>
      </c>
    </row>
    <row r="16" spans="1:8" x14ac:dyDescent="0.3">
      <c r="A16" s="116">
        <v>5.2</v>
      </c>
      <c r="B16" s="175" t="s">
        <v>212</v>
      </c>
      <c r="C16" s="170">
        <v>0</v>
      </c>
      <c r="D16" s="170">
        <v>0</v>
      </c>
      <c r="E16" s="171">
        <f t="shared" si="0"/>
        <v>0</v>
      </c>
      <c r="F16" s="170">
        <v>0</v>
      </c>
      <c r="G16" s="170">
        <v>0</v>
      </c>
      <c r="H16" s="172">
        <f t="shared" si="1"/>
        <v>0</v>
      </c>
    </row>
    <row r="17" spans="1:10" x14ac:dyDescent="0.3">
      <c r="A17" s="116">
        <v>5.3</v>
      </c>
      <c r="B17" s="175" t="s">
        <v>213</v>
      </c>
      <c r="C17" s="170">
        <f>C18+C19+C20+C21+C22</f>
        <v>0</v>
      </c>
      <c r="D17" s="170">
        <f>D18+D19+D20+D21+D22</f>
        <v>45372808.769999996</v>
      </c>
      <c r="E17" s="171">
        <f t="shared" si="0"/>
        <v>45372808.769999996</v>
      </c>
      <c r="F17" s="170">
        <v>0</v>
      </c>
      <c r="G17" s="170">
        <v>30599636.719999999</v>
      </c>
      <c r="H17" s="172">
        <f t="shared" si="1"/>
        <v>30599636.719999999</v>
      </c>
    </row>
    <row r="18" spans="1:10" x14ac:dyDescent="0.3">
      <c r="A18" s="116" t="s">
        <v>214</v>
      </c>
      <c r="B18" s="176" t="s">
        <v>215</v>
      </c>
      <c r="C18" s="170">
        <v>0</v>
      </c>
      <c r="D18" s="170">
        <v>10930142.300000001</v>
      </c>
      <c r="E18" s="171">
        <f t="shared" si="0"/>
        <v>10930142.300000001</v>
      </c>
      <c r="F18" s="170">
        <v>0</v>
      </c>
      <c r="G18" s="170">
        <v>5971075.5700000003</v>
      </c>
      <c r="H18" s="172">
        <f t="shared" si="1"/>
        <v>5971075.5700000003</v>
      </c>
    </row>
    <row r="19" spans="1:10" x14ac:dyDescent="0.3">
      <c r="A19" s="116" t="s">
        <v>216</v>
      </c>
      <c r="B19" s="177" t="s">
        <v>217</v>
      </c>
      <c r="C19" s="170">
        <v>0</v>
      </c>
      <c r="D19" s="170">
        <v>10844168.869999999</v>
      </c>
      <c r="E19" s="171">
        <f t="shared" si="0"/>
        <v>10844168.869999999</v>
      </c>
      <c r="F19" s="170">
        <v>0</v>
      </c>
      <c r="G19" s="170">
        <v>7150090.8799999999</v>
      </c>
      <c r="H19" s="172">
        <f t="shared" si="1"/>
        <v>7150090.8799999999</v>
      </c>
    </row>
    <row r="20" spans="1:10" x14ac:dyDescent="0.3">
      <c r="A20" s="116" t="s">
        <v>218</v>
      </c>
      <c r="B20" s="177" t="s">
        <v>219</v>
      </c>
      <c r="C20" s="170">
        <v>0</v>
      </c>
      <c r="D20" s="170">
        <v>278543.2</v>
      </c>
      <c r="E20" s="171">
        <f t="shared" si="0"/>
        <v>278543.2</v>
      </c>
      <c r="F20" s="170">
        <v>0</v>
      </c>
      <c r="G20" s="170">
        <v>704102.9</v>
      </c>
      <c r="H20" s="172">
        <f t="shared" si="1"/>
        <v>704102.9</v>
      </c>
    </row>
    <row r="21" spans="1:10" x14ac:dyDescent="0.3">
      <c r="A21" s="116" t="s">
        <v>220</v>
      </c>
      <c r="B21" s="177" t="s">
        <v>221</v>
      </c>
      <c r="C21" s="170">
        <v>0</v>
      </c>
      <c r="D21" s="170">
        <v>23319954.399999999</v>
      </c>
      <c r="E21" s="171">
        <f t="shared" si="0"/>
        <v>23319954.399999999</v>
      </c>
      <c r="F21" s="170">
        <v>0</v>
      </c>
      <c r="G21" s="170">
        <v>16774367.369999999</v>
      </c>
      <c r="H21" s="172">
        <f t="shared" si="1"/>
        <v>16774367.369999999</v>
      </c>
    </row>
    <row r="22" spans="1:10" x14ac:dyDescent="0.3">
      <c r="A22" s="116" t="s">
        <v>222</v>
      </c>
      <c r="B22" s="178" t="s">
        <v>223</v>
      </c>
      <c r="C22" s="170">
        <v>0</v>
      </c>
      <c r="D22" s="170">
        <v>0</v>
      </c>
      <c r="E22" s="171">
        <f t="shared" si="0"/>
        <v>0</v>
      </c>
      <c r="F22" s="170">
        <v>0</v>
      </c>
      <c r="G22" s="170">
        <v>0</v>
      </c>
      <c r="H22" s="172">
        <f t="shared" si="1"/>
        <v>0</v>
      </c>
    </row>
    <row r="23" spans="1:10" x14ac:dyDescent="0.3">
      <c r="A23" s="116">
        <v>5.4</v>
      </c>
      <c r="B23" s="175" t="s">
        <v>224</v>
      </c>
      <c r="C23" s="170">
        <v>15000</v>
      </c>
      <c r="D23" s="170">
        <v>4782238.57</v>
      </c>
      <c r="E23" s="171">
        <f t="shared" si="0"/>
        <v>4797238.57</v>
      </c>
      <c r="F23" s="170">
        <v>15000</v>
      </c>
      <c r="G23" s="170">
        <v>0</v>
      </c>
      <c r="H23" s="172">
        <f t="shared" si="1"/>
        <v>15000</v>
      </c>
    </row>
    <row r="24" spans="1:10" x14ac:dyDescent="0.3">
      <c r="A24" s="116">
        <v>5.5</v>
      </c>
      <c r="B24" s="175" t="s">
        <v>225</v>
      </c>
      <c r="C24" s="170">
        <v>0</v>
      </c>
      <c r="D24" s="170">
        <v>0</v>
      </c>
      <c r="E24" s="171">
        <f t="shared" si="0"/>
        <v>0</v>
      </c>
      <c r="F24" s="170">
        <v>989730.96</v>
      </c>
      <c r="G24" s="170">
        <v>0</v>
      </c>
      <c r="H24" s="172">
        <f t="shared" si="1"/>
        <v>989730.96</v>
      </c>
    </row>
    <row r="25" spans="1:10" x14ac:dyDescent="0.3">
      <c r="A25" s="116">
        <v>5.6</v>
      </c>
      <c r="B25" s="175" t="s">
        <v>226</v>
      </c>
      <c r="C25" s="170">
        <v>0</v>
      </c>
      <c r="D25" s="170">
        <v>0</v>
      </c>
      <c r="E25" s="171">
        <f t="shared" si="0"/>
        <v>0</v>
      </c>
      <c r="F25" s="170">
        <v>0</v>
      </c>
      <c r="G25" s="170">
        <v>1853851.66</v>
      </c>
      <c r="H25" s="172">
        <f t="shared" si="1"/>
        <v>1853851.66</v>
      </c>
    </row>
    <row r="26" spans="1:10" x14ac:dyDescent="0.3">
      <c r="A26" s="116">
        <v>5.7</v>
      </c>
      <c r="B26" s="175" t="s">
        <v>223</v>
      </c>
      <c r="C26" s="170">
        <v>0</v>
      </c>
      <c r="D26" s="170">
        <v>0</v>
      </c>
      <c r="E26" s="171">
        <f t="shared" si="0"/>
        <v>0</v>
      </c>
      <c r="F26" s="170">
        <v>2177408.13</v>
      </c>
      <c r="G26" s="170">
        <v>2917305.43</v>
      </c>
      <c r="H26" s="172">
        <f t="shared" si="1"/>
        <v>5094713.5600000005</v>
      </c>
    </row>
    <row r="27" spans="1:10" x14ac:dyDescent="0.3">
      <c r="A27" s="116">
        <v>6</v>
      </c>
      <c r="B27" s="174" t="s">
        <v>227</v>
      </c>
      <c r="C27" s="170">
        <v>668072.73</v>
      </c>
      <c r="D27" s="170">
        <v>2356904</v>
      </c>
      <c r="E27" s="171">
        <f t="shared" si="0"/>
        <v>3024976.73</v>
      </c>
      <c r="F27" s="170">
        <v>893111.88</v>
      </c>
      <c r="G27" s="170">
        <v>28352</v>
      </c>
      <c r="H27" s="172">
        <f t="shared" si="1"/>
        <v>921463.88</v>
      </c>
    </row>
    <row r="28" spans="1:10" x14ac:dyDescent="0.3">
      <c r="A28" s="116">
        <v>7</v>
      </c>
      <c r="B28" s="174" t="s">
        <v>228</v>
      </c>
      <c r="C28" s="170">
        <v>1739500</v>
      </c>
      <c r="D28" s="170">
        <v>2086579.16</v>
      </c>
      <c r="E28" s="171">
        <f t="shared" si="0"/>
        <v>3826079.16</v>
      </c>
      <c r="F28" s="170">
        <v>1539500</v>
      </c>
      <c r="G28" s="170">
        <v>992320</v>
      </c>
      <c r="H28" s="172">
        <f t="shared" si="1"/>
        <v>2531820</v>
      </c>
    </row>
    <row r="29" spans="1:10" x14ac:dyDescent="0.3">
      <c r="A29" s="116">
        <v>8</v>
      </c>
      <c r="B29" s="174" t="s">
        <v>229</v>
      </c>
      <c r="C29" s="170">
        <v>0</v>
      </c>
      <c r="D29" s="170">
        <v>0</v>
      </c>
      <c r="E29" s="171">
        <f t="shared" si="0"/>
        <v>0</v>
      </c>
      <c r="F29" s="170">
        <v>0</v>
      </c>
      <c r="G29" s="170">
        <v>0</v>
      </c>
      <c r="H29" s="172">
        <f t="shared" si="1"/>
        <v>0</v>
      </c>
    </row>
    <row r="30" spans="1:10" x14ac:dyDescent="0.3">
      <c r="A30" s="116">
        <v>9</v>
      </c>
      <c r="B30" s="169" t="s">
        <v>230</v>
      </c>
      <c r="C30" s="170">
        <f>C31+C32+C33+C34+C35+C36+C37</f>
        <v>1313800</v>
      </c>
      <c r="D30" s="170">
        <f>D31+D32+D33+D34+D35+D36+D37</f>
        <v>5356600</v>
      </c>
      <c r="E30" s="171">
        <f t="shared" si="0"/>
        <v>6670400</v>
      </c>
      <c r="F30" s="170">
        <f>F31+F32+F33+F34+F35+F36+F37</f>
        <v>992600</v>
      </c>
      <c r="G30" s="170">
        <f>G31+G32+G33+G34+G35+G36+G37</f>
        <v>8981998.6600000001</v>
      </c>
      <c r="H30" s="172">
        <f t="shared" si="1"/>
        <v>9974598.6600000001</v>
      </c>
    </row>
    <row r="31" spans="1:10" ht="27.6" x14ac:dyDescent="0.3">
      <c r="A31" s="116">
        <v>9.1</v>
      </c>
      <c r="B31" s="173" t="s">
        <v>231</v>
      </c>
      <c r="C31" s="170">
        <v>0</v>
      </c>
      <c r="D31" s="170">
        <v>0</v>
      </c>
      <c r="E31" s="171">
        <f>C31+D31</f>
        <v>0</v>
      </c>
      <c r="F31" s="170">
        <v>0</v>
      </c>
      <c r="G31" s="170">
        <v>0</v>
      </c>
      <c r="H31" s="172">
        <f t="shared" si="1"/>
        <v>0</v>
      </c>
      <c r="J31" s="44"/>
    </row>
    <row r="32" spans="1:10" ht="27.6" x14ac:dyDescent="0.3">
      <c r="A32" s="116">
        <v>9.1999999999999993</v>
      </c>
      <c r="B32" s="173" t="s">
        <v>232</v>
      </c>
      <c r="C32" s="170">
        <v>1313800</v>
      </c>
      <c r="D32" s="170">
        <v>5356600</v>
      </c>
      <c r="E32" s="171">
        <f t="shared" si="0"/>
        <v>6670400</v>
      </c>
      <c r="F32" s="170">
        <v>992600</v>
      </c>
      <c r="G32" s="170">
        <v>8981998.6600000001</v>
      </c>
      <c r="H32" s="172">
        <f t="shared" si="1"/>
        <v>9974598.6600000001</v>
      </c>
    </row>
    <row r="33" spans="1:8" ht="27.6" x14ac:dyDescent="0.3">
      <c r="A33" s="116">
        <v>9.3000000000000007</v>
      </c>
      <c r="B33" s="173" t="s">
        <v>233</v>
      </c>
      <c r="C33" s="170">
        <v>0</v>
      </c>
      <c r="D33" s="170">
        <v>0</v>
      </c>
      <c r="E33" s="171">
        <f t="shared" si="0"/>
        <v>0</v>
      </c>
      <c r="F33" s="170">
        <v>0</v>
      </c>
      <c r="G33" s="170">
        <v>0</v>
      </c>
      <c r="H33" s="172">
        <f t="shared" si="1"/>
        <v>0</v>
      </c>
    </row>
    <row r="34" spans="1:8" x14ac:dyDescent="0.3">
      <c r="A34" s="116">
        <v>9.4</v>
      </c>
      <c r="B34" s="173" t="s">
        <v>234</v>
      </c>
      <c r="C34" s="170">
        <v>0</v>
      </c>
      <c r="D34" s="170">
        <v>0</v>
      </c>
      <c r="E34" s="171">
        <f t="shared" si="0"/>
        <v>0</v>
      </c>
      <c r="F34" s="170">
        <v>0</v>
      </c>
      <c r="G34" s="170">
        <v>0</v>
      </c>
      <c r="H34" s="172">
        <f t="shared" si="1"/>
        <v>0</v>
      </c>
    </row>
    <row r="35" spans="1:8" x14ac:dyDescent="0.3">
      <c r="A35" s="116">
        <v>9.5</v>
      </c>
      <c r="B35" s="173" t="s">
        <v>235</v>
      </c>
      <c r="C35" s="170">
        <v>0</v>
      </c>
      <c r="D35" s="170">
        <v>0</v>
      </c>
      <c r="E35" s="171">
        <f t="shared" si="0"/>
        <v>0</v>
      </c>
      <c r="F35" s="170">
        <v>0</v>
      </c>
      <c r="G35" s="170">
        <v>0</v>
      </c>
      <c r="H35" s="172">
        <f t="shared" si="1"/>
        <v>0</v>
      </c>
    </row>
    <row r="36" spans="1:8" ht="27.6" x14ac:dyDescent="0.3">
      <c r="A36" s="116">
        <v>9.6</v>
      </c>
      <c r="B36" s="173" t="s">
        <v>236</v>
      </c>
      <c r="C36" s="170">
        <v>0</v>
      </c>
      <c r="D36" s="170">
        <v>0</v>
      </c>
      <c r="E36" s="171">
        <f t="shared" si="0"/>
        <v>0</v>
      </c>
      <c r="F36" s="170">
        <v>0</v>
      </c>
      <c r="G36" s="170">
        <v>0</v>
      </c>
      <c r="H36" s="172">
        <f t="shared" si="1"/>
        <v>0</v>
      </c>
    </row>
    <row r="37" spans="1:8" ht="27.6" x14ac:dyDescent="0.3">
      <c r="A37" s="116">
        <v>9.6999999999999993</v>
      </c>
      <c r="B37" s="173" t="s">
        <v>237</v>
      </c>
      <c r="C37" s="170">
        <v>0</v>
      </c>
      <c r="D37" s="170">
        <v>0</v>
      </c>
      <c r="E37" s="171">
        <f t="shared" si="0"/>
        <v>0</v>
      </c>
      <c r="F37" s="170">
        <v>0</v>
      </c>
      <c r="G37" s="170">
        <v>0</v>
      </c>
      <c r="H37" s="172">
        <f t="shared" si="1"/>
        <v>0</v>
      </c>
    </row>
    <row r="38" spans="1:8" x14ac:dyDescent="0.3">
      <c r="A38" s="116">
        <v>10</v>
      </c>
      <c r="B38" s="174" t="s">
        <v>238</v>
      </c>
      <c r="C38" s="170">
        <f>C39+C40+C41+C42</f>
        <v>2517398</v>
      </c>
      <c r="D38" s="170">
        <f>D39+D40+D41+D42</f>
        <v>2352211</v>
      </c>
      <c r="E38" s="171">
        <f t="shared" si="0"/>
        <v>4869609</v>
      </c>
      <c r="F38" s="170">
        <f>F39+F40+F41+F42</f>
        <v>8675452</v>
      </c>
      <c r="G38" s="170">
        <f>G39+G40+G41+G42</f>
        <v>6425042</v>
      </c>
      <c r="H38" s="172">
        <f t="shared" si="1"/>
        <v>15100494</v>
      </c>
    </row>
    <row r="39" spans="1:8" x14ac:dyDescent="0.3">
      <c r="A39" s="116">
        <v>10.1</v>
      </c>
      <c r="B39" s="173" t="s">
        <v>239</v>
      </c>
      <c r="C39" s="170">
        <v>2070</v>
      </c>
      <c r="D39" s="170">
        <v>0</v>
      </c>
      <c r="E39" s="171">
        <f t="shared" si="0"/>
        <v>2070</v>
      </c>
      <c r="F39" s="170">
        <v>50149</v>
      </c>
      <c r="G39" s="170">
        <v>0</v>
      </c>
      <c r="H39" s="172">
        <f t="shared" si="1"/>
        <v>50149</v>
      </c>
    </row>
    <row r="40" spans="1:8" ht="27.6" x14ac:dyDescent="0.3">
      <c r="A40" s="116">
        <v>10.199999999999999</v>
      </c>
      <c r="B40" s="173" t="s">
        <v>240</v>
      </c>
      <c r="C40" s="170">
        <v>1579455</v>
      </c>
      <c r="D40" s="170">
        <v>2204741</v>
      </c>
      <c r="E40" s="171">
        <f t="shared" si="0"/>
        <v>3784196</v>
      </c>
      <c r="F40" s="170">
        <v>1141496</v>
      </c>
      <c r="G40" s="170">
        <v>1407848</v>
      </c>
      <c r="H40" s="172">
        <f t="shared" si="1"/>
        <v>2549344</v>
      </c>
    </row>
    <row r="41" spans="1:8" ht="27.6" x14ac:dyDescent="0.3">
      <c r="A41" s="116">
        <v>10.3</v>
      </c>
      <c r="B41" s="173" t="s">
        <v>241</v>
      </c>
      <c r="C41" s="170">
        <v>638043</v>
      </c>
      <c r="D41" s="170">
        <v>128928</v>
      </c>
      <c r="E41" s="171">
        <f t="shared" si="0"/>
        <v>766971</v>
      </c>
      <c r="F41" s="170">
        <v>4146758</v>
      </c>
      <c r="G41" s="170">
        <v>1168220</v>
      </c>
      <c r="H41" s="172">
        <f t="shared" si="1"/>
        <v>5314978</v>
      </c>
    </row>
    <row r="42" spans="1:8" ht="27.6" x14ac:dyDescent="0.3">
      <c r="A42" s="116">
        <v>10.4</v>
      </c>
      <c r="B42" s="173" t="s">
        <v>242</v>
      </c>
      <c r="C42" s="170">
        <v>297830</v>
      </c>
      <c r="D42" s="170">
        <v>18542</v>
      </c>
      <c r="E42" s="171">
        <f t="shared" si="0"/>
        <v>316372</v>
      </c>
      <c r="F42" s="170">
        <v>3337049</v>
      </c>
      <c r="G42" s="170">
        <v>3848974</v>
      </c>
      <c r="H42" s="172">
        <f t="shared" si="1"/>
        <v>7186023</v>
      </c>
    </row>
    <row r="43" spans="1:8" x14ac:dyDescent="0.3">
      <c r="A43" s="116">
        <v>11</v>
      </c>
      <c r="B43" s="179" t="s">
        <v>243</v>
      </c>
      <c r="C43" s="170">
        <v>0</v>
      </c>
      <c r="D43" s="170">
        <v>0</v>
      </c>
      <c r="E43" s="171">
        <f t="shared" si="0"/>
        <v>0</v>
      </c>
      <c r="F43" s="170">
        <v>0</v>
      </c>
      <c r="G43" s="170">
        <v>0</v>
      </c>
      <c r="H43" s="172">
        <f t="shared" si="1"/>
        <v>0</v>
      </c>
    </row>
    <row r="44" spans="1:8" x14ac:dyDescent="0.3">
      <c r="C44" s="180"/>
      <c r="D44" s="180"/>
      <c r="E44" s="180"/>
      <c r="F44" s="180"/>
      <c r="G44" s="180"/>
      <c r="H44" s="180"/>
    </row>
    <row r="45" spans="1:8" x14ac:dyDescent="0.3">
      <c r="C45" s="180"/>
      <c r="D45" s="180"/>
      <c r="E45" s="180"/>
      <c r="F45" s="180"/>
      <c r="G45" s="180"/>
      <c r="H45" s="180"/>
    </row>
    <row r="46" spans="1:8" x14ac:dyDescent="0.3">
      <c r="C46" s="180"/>
      <c r="D46" s="180"/>
      <c r="E46" s="180"/>
      <c r="F46" s="180"/>
      <c r="G46" s="180"/>
      <c r="H46" s="180"/>
    </row>
    <row r="47" spans="1:8" x14ac:dyDescent="0.3">
      <c r="C47" s="180"/>
      <c r="D47" s="180"/>
      <c r="E47" s="180"/>
      <c r="F47" s="180"/>
      <c r="G47" s="180"/>
      <c r="H47" s="180"/>
    </row>
  </sheetData>
  <mergeCells count="4">
    <mergeCell ref="A4:A5"/>
    <mergeCell ref="B4:B5"/>
    <mergeCell ref="C4:E4"/>
    <mergeCell ref="F4:H4"/>
  </mergeCells>
  <pageMargins left="0.7" right="0.7" top="0.75" bottom="0.75" header="0.3" footer="0.3"/>
  <pageSetup paperSize="0" orientation="portrait" horizontalDpi="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66BE-97F4-4114-84CC-CC3A12E6605B}">
  <dimension ref="A1:G22"/>
  <sheetViews>
    <sheetView zoomScaleNormal="100" workbookViewId="0">
      <pane xSplit="1" ySplit="4" topLeftCell="C5" activePane="bottomRight" state="frozen"/>
      <selection activeCell="C8" sqref="C8"/>
      <selection pane="topRight" activeCell="C8" sqref="C8"/>
      <selection pane="bottomLeft" activeCell="C8" sqref="C8"/>
      <selection pane="bottomRight" activeCell="C6" sqref="C6:G13"/>
    </sheetView>
  </sheetViews>
  <sheetFormatPr defaultColWidth="9.109375" defaultRowHeight="13.8" x14ac:dyDescent="0.3"/>
  <cols>
    <col min="1" max="1" width="9.5546875" style="20" bestFit="1" customWidth="1"/>
    <col min="2" max="2" width="93.5546875" style="20" customWidth="1"/>
    <col min="3" max="5" width="11.6640625" style="20" customWidth="1"/>
    <col min="6" max="6" width="11.6640625" style="181" customWidth="1"/>
    <col min="7" max="7" width="13.6640625" style="181" customWidth="1"/>
    <col min="8" max="8" width="9.6640625" style="181" customWidth="1"/>
    <col min="9" max="16384" width="9.109375" style="181"/>
  </cols>
  <sheetData>
    <row r="1" spans="1:7" x14ac:dyDescent="0.3">
      <c r="A1" s="21" t="s">
        <v>41</v>
      </c>
      <c r="B1" s="23" t="str">
        <f>Info!C2</f>
        <v>სს სილქ ბანკი</v>
      </c>
      <c r="C1" s="23"/>
      <c r="D1" s="23"/>
    </row>
    <row r="2" spans="1:7" x14ac:dyDescent="0.3">
      <c r="A2" s="21" t="s">
        <v>42</v>
      </c>
      <c r="B2" s="24">
        <f>'1. key ratios'!B2</f>
        <v>45199</v>
      </c>
      <c r="C2" s="23"/>
      <c r="D2" s="23"/>
    </row>
    <row r="3" spans="1:7" x14ac:dyDescent="0.3">
      <c r="A3" s="21"/>
      <c r="B3" s="23"/>
      <c r="C3" s="23"/>
      <c r="D3" s="23"/>
    </row>
    <row r="4" spans="1:7" ht="40.5" customHeight="1" thickBot="1" x14ac:dyDescent="0.35">
      <c r="A4" s="182" t="s">
        <v>244</v>
      </c>
      <c r="B4" s="183" t="s">
        <v>16</v>
      </c>
      <c r="C4" s="184" t="s">
        <v>245</v>
      </c>
      <c r="D4" s="184"/>
    </row>
    <row r="5" spans="1:7" ht="15" customHeight="1" x14ac:dyDescent="0.2">
      <c r="A5" s="185" t="s">
        <v>47</v>
      </c>
      <c r="B5" s="186"/>
      <c r="C5" s="187" t="str">
        <f>INT((MONTH($B$2))/3)&amp;"Q"&amp;"-"&amp;YEAR($B$2)</f>
        <v>3Q-2023</v>
      </c>
      <c r="D5" s="187" t="str">
        <f>IF(INT(MONTH($B$2))=3, "4"&amp;"Q"&amp;"-"&amp;YEAR($B$2)-1, IF(INT(MONTH($B$2))=6, "1"&amp;"Q"&amp;"-"&amp;YEAR($B$2), IF(INT(MONTH($B$2))=9, "2"&amp;"Q"&amp;"-"&amp;YEAR($B$2),IF(INT(MONTH($B$2))=12, "3"&amp;"Q"&amp;"-"&amp;YEAR($B$2), 0))))</f>
        <v>2Q-2023</v>
      </c>
      <c r="E5" s="187" t="str">
        <f>IF(INT(MONTH($B$2))=3, "3"&amp;"Q"&amp;"-"&amp;YEAR($B$2)-1, IF(INT(MONTH($B$2))=6, "4"&amp;"Q"&amp;"-"&amp;YEAR($B$2)-1, IF(INT(MONTH($B$2))=9, "1"&amp;"Q"&amp;"-"&amp;YEAR($B$2),IF(INT(MONTH($B$2))=12, "2"&amp;"Q"&amp;"-"&amp;YEAR($B$2), 0))))</f>
        <v>1Q-2023</v>
      </c>
      <c r="F5" s="187" t="str">
        <f>IF(INT(MONTH($B$2))=3, "2"&amp;"Q"&amp;"-"&amp;YEAR($B$2)-1, IF(INT(MONTH($B$2))=6, "3"&amp;"Q"&amp;"-"&amp;YEAR($B$2)-1, IF(INT(MONTH($B$2))=9, "4"&amp;"Q"&amp;"-"&amp;YEAR($B$2)-1,IF(INT(MONTH($B$2))=12, "1"&amp;"Q"&amp;"-"&amp;YEAR($B$2), 0))))</f>
        <v>4Q-2022</v>
      </c>
      <c r="G5" s="187" t="str">
        <f>IF(INT(MONTH($B$2))=3, "1"&amp;"Q"&amp;"-"&amp;YEAR($B$2)-1, IF(INT(MONTH($B$2))=6, "2"&amp;"Q"&amp;"-"&amp;YEAR($B$2)-1, IF(INT(MONTH($B$2))=9, "3"&amp;"Q"&amp;"-"&amp;YEAR($B$2)-1,IF(INT(MONTH($B$2))=12, "4"&amp;"Q"&amp;"-"&amp;YEAR($B$2)-1, 0))))</f>
        <v>3Q-2022</v>
      </c>
    </row>
    <row r="6" spans="1:7" ht="15" customHeight="1" x14ac:dyDescent="0.2">
      <c r="A6" s="188">
        <v>1</v>
      </c>
      <c r="B6" s="189" t="s">
        <v>246</v>
      </c>
      <c r="C6" s="190">
        <f>C7+C9+C10</f>
        <v>79633223.293629467</v>
      </c>
      <c r="D6" s="190">
        <f>D7+D9+D10</f>
        <v>61938851.293507352</v>
      </c>
      <c r="E6" s="190">
        <f>E7+E9+E10</f>
        <v>48673601.495233156</v>
      </c>
      <c r="F6" s="190">
        <f>F7+F9+F10</f>
        <v>52131562.31952107</v>
      </c>
      <c r="G6" s="191">
        <f>G7+G9+G10</f>
        <v>62935566.47438737</v>
      </c>
    </row>
    <row r="7" spans="1:7" ht="15" customHeight="1" x14ac:dyDescent="0.2">
      <c r="A7" s="188">
        <v>1.1000000000000001</v>
      </c>
      <c r="B7" s="193" t="s">
        <v>247</v>
      </c>
      <c r="C7" s="194">
        <v>75682512.27550739</v>
      </c>
      <c r="D7" s="194">
        <v>60964339.293507352</v>
      </c>
      <c r="E7" s="773">
        <v>47707923.095233157</v>
      </c>
      <c r="F7" s="194">
        <v>50188501.127521068</v>
      </c>
      <c r="G7" s="195">
        <v>60204254.501187369</v>
      </c>
    </row>
    <row r="8" spans="1:7" ht="27.6" x14ac:dyDescent="0.2">
      <c r="A8" s="188" t="s">
        <v>248</v>
      </c>
      <c r="B8" s="196" t="s">
        <v>249</v>
      </c>
      <c r="C8" s="194"/>
      <c r="D8" s="194"/>
      <c r="E8" s="773"/>
      <c r="F8" s="194"/>
      <c r="G8" s="195"/>
    </row>
    <row r="9" spans="1:7" ht="15" customHeight="1" x14ac:dyDescent="0.2">
      <c r="A9" s="188">
        <v>1.2</v>
      </c>
      <c r="B9" s="193" t="s">
        <v>250</v>
      </c>
      <c r="C9" s="194">
        <v>3817303.0181220695</v>
      </c>
      <c r="D9" s="194">
        <v>759877</v>
      </c>
      <c r="E9" s="773">
        <v>755104</v>
      </c>
      <c r="F9" s="194">
        <v>1675200</v>
      </c>
      <c r="G9" s="195">
        <v>2531820</v>
      </c>
    </row>
    <row r="10" spans="1:7" ht="15" customHeight="1" x14ac:dyDescent="0.2">
      <c r="A10" s="188">
        <v>1.3</v>
      </c>
      <c r="B10" s="197" t="s">
        <v>28</v>
      </c>
      <c r="C10" s="194">
        <v>133408</v>
      </c>
      <c r="D10" s="194">
        <v>214635</v>
      </c>
      <c r="E10" s="773">
        <v>210574.4</v>
      </c>
      <c r="F10" s="194">
        <v>267861.19199999998</v>
      </c>
      <c r="G10" s="195">
        <v>199491.97320000001</v>
      </c>
    </row>
    <row r="11" spans="1:7" ht="15" customHeight="1" x14ac:dyDescent="0.2">
      <c r="A11" s="188">
        <v>2</v>
      </c>
      <c r="B11" s="189" t="s">
        <v>251</v>
      </c>
      <c r="C11" s="194">
        <v>297313.52988999954</v>
      </c>
      <c r="D11" s="194">
        <v>229858.94887295188</v>
      </c>
      <c r="E11" s="773">
        <v>176313.25844009916</v>
      </c>
      <c r="F11" s="194">
        <v>558585.90173394338</v>
      </c>
      <c r="G11" s="195">
        <v>1836150.6559868075</v>
      </c>
    </row>
    <row r="12" spans="1:7" ht="15" customHeight="1" x14ac:dyDescent="0.2">
      <c r="A12" s="188">
        <v>3</v>
      </c>
      <c r="B12" s="189" t="s">
        <v>252</v>
      </c>
      <c r="C12" s="194">
        <v>8764146.5926030725</v>
      </c>
      <c r="D12" s="194">
        <v>8764146.5926030725</v>
      </c>
      <c r="E12" s="773">
        <v>8764146.5926030725</v>
      </c>
      <c r="F12" s="194">
        <v>8764146.5926030725</v>
      </c>
      <c r="G12" s="195">
        <v>10334658.68012852</v>
      </c>
    </row>
    <row r="13" spans="1:7" ht="15" customHeight="1" thickBot="1" x14ac:dyDescent="0.25">
      <c r="A13" s="198">
        <v>4</v>
      </c>
      <c r="B13" s="199" t="s">
        <v>253</v>
      </c>
      <c r="C13" s="200">
        <f>C6+C11+C12</f>
        <v>88694683.416122541</v>
      </c>
      <c r="D13" s="200">
        <f>D6+D11+D12</f>
        <v>70932856.834983379</v>
      </c>
      <c r="E13" s="200">
        <f>E6+E11+E12</f>
        <v>57614061.346276328</v>
      </c>
      <c r="F13" s="200">
        <f>F6+F11+F12</f>
        <v>61454294.813858084</v>
      </c>
      <c r="G13" s="201">
        <f>G6+G11+G12</f>
        <v>75106375.810502693</v>
      </c>
    </row>
    <row r="14" spans="1:7" x14ac:dyDescent="0.3">
      <c r="B14" s="109"/>
    </row>
    <row r="15" spans="1:7" ht="27.6" x14ac:dyDescent="0.3">
      <c r="B15" s="109" t="s">
        <v>254</v>
      </c>
    </row>
    <row r="16" spans="1:7" x14ac:dyDescent="0.3">
      <c r="B16" s="109"/>
    </row>
    <row r="17" spans="2:4" x14ac:dyDescent="0.3">
      <c r="B17" s="109"/>
    </row>
    <row r="18" spans="2:4" x14ac:dyDescent="0.3">
      <c r="B18" s="109"/>
      <c r="D18" s="202"/>
    </row>
    <row r="22" spans="2:4" x14ac:dyDescent="0.3">
      <c r="B22" s="20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4A91-41B6-40EF-8CFB-089FB1074E6E}">
  <dimension ref="A1:C36"/>
  <sheetViews>
    <sheetView showGridLines="0" zoomScaleNormal="100" workbookViewId="0">
      <pane xSplit="1" ySplit="4" topLeftCell="B19" activePane="bottomRight" state="frozen"/>
      <selection activeCell="C8" sqref="C8"/>
      <selection pane="topRight" activeCell="C8" sqref="C8"/>
      <selection pane="bottomLeft" activeCell="C8" sqref="C8"/>
      <selection pane="bottomRight" activeCell="C24" sqref="C24"/>
    </sheetView>
  </sheetViews>
  <sheetFormatPr defaultRowHeight="14.4" x14ac:dyDescent="0.3"/>
  <cols>
    <col min="1" max="1" width="9.5546875" style="20" bestFit="1" customWidth="1"/>
    <col min="2" max="2" width="53.6640625" style="20" customWidth="1"/>
    <col min="3" max="3" width="36.109375" style="20" customWidth="1"/>
    <col min="4" max="4" width="31.6640625" bestFit="1" customWidth="1"/>
  </cols>
  <sheetData>
    <row r="1" spans="1:3" x14ac:dyDescent="0.3">
      <c r="A1" s="20" t="s">
        <v>41</v>
      </c>
      <c r="B1" s="20" t="str">
        <f>Info!C2</f>
        <v>სს სილქ ბანკი</v>
      </c>
    </row>
    <row r="2" spans="1:3" x14ac:dyDescent="0.3">
      <c r="A2" s="20" t="s">
        <v>42</v>
      </c>
      <c r="B2" s="24">
        <f>'1. key ratios'!B2</f>
        <v>45199</v>
      </c>
    </row>
    <row r="4" spans="1:3" ht="40.5" customHeight="1" thickBot="1" x14ac:dyDescent="0.35">
      <c r="A4" s="204" t="s">
        <v>255</v>
      </c>
      <c r="B4" s="838" t="s">
        <v>17</v>
      </c>
      <c r="C4" s="838"/>
    </row>
    <row r="5" spans="1:3" x14ac:dyDescent="0.3">
      <c r="A5" s="205"/>
      <c r="B5" s="206" t="s">
        <v>256</v>
      </c>
      <c r="C5" s="167" t="s">
        <v>257</v>
      </c>
    </row>
    <row r="6" spans="1:3" ht="15" x14ac:dyDescent="0.35">
      <c r="A6" s="207">
        <v>1</v>
      </c>
      <c r="B6" s="208" t="s">
        <v>258</v>
      </c>
      <c r="C6" s="209" t="s">
        <v>259</v>
      </c>
    </row>
    <row r="7" spans="1:3" ht="15" x14ac:dyDescent="0.35">
      <c r="A7" s="207">
        <v>2</v>
      </c>
      <c r="B7" s="208" t="s">
        <v>260</v>
      </c>
      <c r="C7" s="209" t="s">
        <v>261</v>
      </c>
    </row>
    <row r="8" spans="1:3" ht="15" x14ac:dyDescent="0.35">
      <c r="A8" s="207">
        <v>3</v>
      </c>
      <c r="B8" s="208" t="s">
        <v>262</v>
      </c>
      <c r="C8" s="209" t="s">
        <v>261</v>
      </c>
    </row>
    <row r="9" spans="1:3" ht="15" x14ac:dyDescent="0.35">
      <c r="A9" s="207">
        <v>4</v>
      </c>
      <c r="B9" s="208" t="s">
        <v>263</v>
      </c>
      <c r="C9" s="209" t="s">
        <v>261</v>
      </c>
    </row>
    <row r="10" spans="1:3" ht="15" x14ac:dyDescent="0.35">
      <c r="A10" s="207">
        <v>5</v>
      </c>
      <c r="B10" s="208" t="s">
        <v>264</v>
      </c>
      <c r="C10" s="209" t="s">
        <v>265</v>
      </c>
    </row>
    <row r="11" spans="1:3" ht="15" x14ac:dyDescent="0.35">
      <c r="A11" s="207">
        <v>6</v>
      </c>
      <c r="B11" s="208" t="s">
        <v>266</v>
      </c>
      <c r="C11" s="209" t="s">
        <v>265</v>
      </c>
    </row>
    <row r="12" spans="1:3" ht="15" x14ac:dyDescent="0.35">
      <c r="A12" s="207"/>
      <c r="B12" s="839"/>
      <c r="C12" s="840"/>
    </row>
    <row r="13" spans="1:3" ht="41.4" x14ac:dyDescent="0.3">
      <c r="A13" s="207"/>
      <c r="B13" s="210" t="s">
        <v>267</v>
      </c>
      <c r="C13" s="211" t="s">
        <v>268</v>
      </c>
    </row>
    <row r="14" spans="1:3" x14ac:dyDescent="0.3">
      <c r="A14" s="207">
        <v>1</v>
      </c>
      <c r="B14" s="212" t="s">
        <v>269</v>
      </c>
      <c r="C14" s="213" t="s">
        <v>270</v>
      </c>
    </row>
    <row r="15" spans="1:3" ht="27.6" x14ac:dyDescent="0.3">
      <c r="A15" s="207">
        <v>2</v>
      </c>
      <c r="B15" s="214" t="s">
        <v>271</v>
      </c>
      <c r="C15" s="213" t="s">
        <v>272</v>
      </c>
    </row>
    <row r="16" spans="1:3" x14ac:dyDescent="0.3">
      <c r="A16" s="207">
        <v>3</v>
      </c>
      <c r="B16" s="214" t="s">
        <v>273</v>
      </c>
      <c r="C16" s="213" t="s">
        <v>274</v>
      </c>
    </row>
    <row r="17" spans="1:3" x14ac:dyDescent="0.3">
      <c r="A17" s="207">
        <v>4</v>
      </c>
      <c r="B17" s="212" t="s">
        <v>275</v>
      </c>
      <c r="C17" s="213" t="s">
        <v>276</v>
      </c>
    </row>
    <row r="18" spans="1:3" ht="27.6" x14ac:dyDescent="0.3">
      <c r="A18" s="207">
        <v>5</v>
      </c>
      <c r="B18" s="212" t="s">
        <v>277</v>
      </c>
      <c r="C18" s="213" t="s">
        <v>278</v>
      </c>
    </row>
    <row r="19" spans="1:3" x14ac:dyDescent="0.3">
      <c r="A19" s="207">
        <v>6</v>
      </c>
      <c r="B19" s="212" t="s">
        <v>279</v>
      </c>
      <c r="C19" s="213" t="s">
        <v>280</v>
      </c>
    </row>
    <row r="20" spans="1:3" x14ac:dyDescent="0.3">
      <c r="A20" s="207">
        <v>7</v>
      </c>
      <c r="B20" s="212" t="s">
        <v>281</v>
      </c>
      <c r="C20" s="213" t="s">
        <v>282</v>
      </c>
    </row>
    <row r="21" spans="1:3" ht="27.6" x14ac:dyDescent="0.3">
      <c r="A21" s="207">
        <v>8</v>
      </c>
      <c r="B21" s="212" t="s">
        <v>283</v>
      </c>
      <c r="C21" s="213" t="s">
        <v>284</v>
      </c>
    </row>
    <row r="22" spans="1:3" x14ac:dyDescent="0.3">
      <c r="A22" s="207"/>
      <c r="B22" s="212"/>
      <c r="C22" s="215"/>
    </row>
    <row r="23" spans="1:3" ht="15.75" customHeight="1" x14ac:dyDescent="0.3">
      <c r="A23" s="207"/>
      <c r="B23" s="841" t="s">
        <v>285</v>
      </c>
      <c r="C23" s="842"/>
    </row>
    <row r="24" spans="1:3" ht="30" customHeight="1" x14ac:dyDescent="0.35">
      <c r="A24" s="207">
        <v>1</v>
      </c>
      <c r="B24" s="208" t="s">
        <v>286</v>
      </c>
      <c r="C24" s="216">
        <v>0.59997712339387166</v>
      </c>
    </row>
    <row r="25" spans="1:3" ht="15" customHeight="1" x14ac:dyDescent="0.35">
      <c r="A25" s="207">
        <v>2</v>
      </c>
      <c r="B25" s="208" t="s">
        <v>287</v>
      </c>
      <c r="C25" s="216">
        <v>0.37136833877711833</v>
      </c>
    </row>
    <row r="26" spans="1:3" ht="15" x14ac:dyDescent="0.35">
      <c r="A26" s="207">
        <v>3</v>
      </c>
      <c r="B26" s="208" t="s">
        <v>288</v>
      </c>
      <c r="C26" s="216">
        <v>2.8595757660485745E-2</v>
      </c>
    </row>
    <row r="27" spans="1:3" ht="15" x14ac:dyDescent="0.35">
      <c r="A27" s="207"/>
      <c r="B27" s="208"/>
      <c r="C27" s="217"/>
    </row>
    <row r="28" spans="1:3" ht="15.75" customHeight="1" x14ac:dyDescent="0.3">
      <c r="A28" s="207"/>
      <c r="B28" s="841" t="s">
        <v>289</v>
      </c>
      <c r="C28" s="842"/>
    </row>
    <row r="29" spans="1:3" ht="29.25" customHeight="1" x14ac:dyDescent="0.35">
      <c r="A29" s="207">
        <v>1</v>
      </c>
      <c r="B29" s="208" t="s">
        <v>286</v>
      </c>
      <c r="C29" s="218">
        <v>0.59997712339387166</v>
      </c>
    </row>
    <row r="30" spans="1:3" ht="15" customHeight="1" x14ac:dyDescent="0.35">
      <c r="A30" s="219">
        <v>1.1000000000000001</v>
      </c>
      <c r="B30" s="220" t="s">
        <v>290</v>
      </c>
      <c r="C30" s="221">
        <v>0.37138583938080655</v>
      </c>
    </row>
    <row r="31" spans="1:3" ht="15" x14ac:dyDescent="0.35">
      <c r="A31" s="219">
        <v>1.2</v>
      </c>
      <c r="B31" s="220" t="s">
        <v>291</v>
      </c>
      <c r="C31" s="221">
        <v>0.17147346186596849</v>
      </c>
    </row>
    <row r="32" spans="1:3" ht="15" x14ac:dyDescent="0.35">
      <c r="A32" s="219">
        <v>1.3</v>
      </c>
      <c r="B32" s="220" t="s">
        <v>292</v>
      </c>
      <c r="C32" s="221">
        <v>5.7117822147096584E-2</v>
      </c>
    </row>
    <row r="33" spans="1:3" ht="15" x14ac:dyDescent="0.35">
      <c r="A33" s="219">
        <v>2</v>
      </c>
      <c r="B33" s="220" t="s">
        <v>287</v>
      </c>
      <c r="C33" s="221">
        <v>0.37136833877711833</v>
      </c>
    </row>
    <row r="34" spans="1:3" ht="28.8" x14ac:dyDescent="0.35">
      <c r="A34" s="219">
        <v>2.1</v>
      </c>
      <c r="B34" s="220" t="s">
        <v>293</v>
      </c>
      <c r="C34" s="221">
        <v>0.37136833877711833</v>
      </c>
    </row>
    <row r="35" spans="1:3" ht="15" x14ac:dyDescent="0.35">
      <c r="A35" s="222" t="s">
        <v>294</v>
      </c>
      <c r="B35" s="220" t="s">
        <v>295</v>
      </c>
      <c r="C35" s="221">
        <v>0.37136833877711833</v>
      </c>
    </row>
    <row r="36" spans="1:3" ht="15.6" thickBot="1" x14ac:dyDescent="0.4">
      <c r="A36" s="223"/>
      <c r="B36" s="224"/>
      <c r="C36" s="225"/>
    </row>
  </sheetData>
  <mergeCells count="4">
    <mergeCell ref="B4:C4"/>
    <mergeCell ref="B12:C12"/>
    <mergeCell ref="B23:C23"/>
    <mergeCell ref="B28:C28"/>
  </mergeCells>
  <dataValidations count="1">
    <dataValidation type="list" allowBlank="1" showInputMessage="1" showErrorMessage="1" sqref="C6:C11" xr:uid="{BD2F9189-244A-4C38-AFEB-E6875AF8B0A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3E7D-F0CF-4CDA-B836-8990B6A435A7}">
  <dimension ref="A1:G50"/>
  <sheetViews>
    <sheetView zoomScaleNormal="130" workbookViewId="0">
      <pane xSplit="1" ySplit="5" topLeftCell="B6" activePane="bottomRight" state="frozen"/>
      <selection activeCell="C8" sqref="C8"/>
      <selection pane="topRight" activeCell="C8" sqref="C8"/>
      <selection pane="bottomLeft" activeCell="C8" sqref="C8"/>
      <selection pane="bottomRight" activeCell="E37" sqref="C8:E37"/>
    </sheetView>
  </sheetViews>
  <sheetFormatPr defaultRowHeight="14.4" x14ac:dyDescent="0.3"/>
  <cols>
    <col min="1" max="1" width="9.5546875" style="20" bestFit="1" customWidth="1"/>
    <col min="2" max="2" width="47.5546875" style="20" customWidth="1"/>
    <col min="3" max="3" width="28" style="20" customWidth="1"/>
    <col min="4" max="4" width="25.5546875" style="20" customWidth="1"/>
    <col min="5" max="5" width="18.88671875" style="20" customWidth="1"/>
    <col min="6" max="6" width="12" style="226" bestFit="1" customWidth="1"/>
    <col min="7" max="7" width="62.109375" customWidth="1"/>
  </cols>
  <sheetData>
    <row r="1" spans="1:6" x14ac:dyDescent="0.3">
      <c r="A1" s="21" t="s">
        <v>41</v>
      </c>
      <c r="B1" s="23" t="str">
        <f>Info!C2</f>
        <v>სს სილქ ბანკი</v>
      </c>
    </row>
    <row r="2" spans="1:6" s="21" customFormat="1" ht="15.75" customHeight="1" x14ac:dyDescent="0.3">
      <c r="A2" s="21" t="s">
        <v>42</v>
      </c>
      <c r="B2" s="24">
        <f>'1. key ratios'!B2</f>
        <v>45199</v>
      </c>
      <c r="F2" s="227"/>
    </row>
    <row r="3" spans="1:6" s="21" customFormat="1" ht="15.75" customHeight="1" x14ac:dyDescent="0.3">
      <c r="F3" s="227"/>
    </row>
    <row r="4" spans="1:6" s="21" customFormat="1" ht="40.5" customHeight="1" thickBot="1" x14ac:dyDescent="0.35">
      <c r="A4" s="228" t="s">
        <v>296</v>
      </c>
      <c r="B4" s="229" t="s">
        <v>18</v>
      </c>
      <c r="C4" s="230"/>
      <c r="D4" s="230"/>
      <c r="E4" s="231" t="s">
        <v>245</v>
      </c>
      <c r="F4" s="227"/>
    </row>
    <row r="5" spans="1:6" s="237" customFormat="1" ht="17.399999999999999" customHeight="1" x14ac:dyDescent="0.3">
      <c r="A5" s="232"/>
      <c r="B5" s="233"/>
      <c r="C5" s="234" t="s">
        <v>297</v>
      </c>
      <c r="D5" s="234" t="s">
        <v>298</v>
      </c>
      <c r="E5" s="235" t="s">
        <v>299</v>
      </c>
      <c r="F5" s="236"/>
    </row>
    <row r="6" spans="1:6" ht="14.4" customHeight="1" x14ac:dyDescent="0.3">
      <c r="A6" s="238"/>
      <c r="B6" s="843" t="s">
        <v>300</v>
      </c>
      <c r="C6" s="843" t="s">
        <v>301</v>
      </c>
      <c r="D6" s="844" t="s">
        <v>302</v>
      </c>
      <c r="E6" s="845"/>
    </row>
    <row r="7" spans="1:6" ht="99.6" customHeight="1" x14ac:dyDescent="0.3">
      <c r="A7" s="238"/>
      <c r="B7" s="843"/>
      <c r="C7" s="843"/>
      <c r="D7" s="240" t="s">
        <v>303</v>
      </c>
      <c r="E7" s="241" t="s">
        <v>304</v>
      </c>
    </row>
    <row r="8" spans="1:6" ht="22.5" customHeight="1" x14ac:dyDescent="0.3">
      <c r="A8" s="113">
        <v>1</v>
      </c>
      <c r="B8" s="117" t="s">
        <v>105</v>
      </c>
      <c r="C8" s="242">
        <f>SUM(C9:C11)</f>
        <v>67573154.00000006</v>
      </c>
      <c r="D8" s="242">
        <f>SUM(D9:D11)</f>
        <v>0</v>
      </c>
      <c r="E8" s="242">
        <f>SUM(E9:E11)</f>
        <v>67573154.00000006</v>
      </c>
      <c r="F8" s="243">
        <f>E8-'2. SOFP'!E7</f>
        <v>0</v>
      </c>
    </row>
    <row r="9" spans="1:6" x14ac:dyDescent="0.3">
      <c r="A9" s="113">
        <v>1.1000000000000001</v>
      </c>
      <c r="B9" s="120" t="s">
        <v>106</v>
      </c>
      <c r="C9" s="242">
        <f>'2. SOFP'!E8</f>
        <v>2841108.1799999923</v>
      </c>
      <c r="D9" s="242"/>
      <c r="E9" s="242">
        <f>C9-D9</f>
        <v>2841108.1799999923</v>
      </c>
    </row>
    <row r="10" spans="1:6" x14ac:dyDescent="0.3">
      <c r="A10" s="113">
        <v>1.2</v>
      </c>
      <c r="B10" s="120" t="s">
        <v>107</v>
      </c>
      <c r="C10" s="242">
        <f>'2. SOFP'!E9</f>
        <v>7119678.4500000402</v>
      </c>
      <c r="D10" s="242"/>
      <c r="E10" s="242">
        <f t="shared" ref="E10:E15" si="0">C10-D10</f>
        <v>7119678.4500000402</v>
      </c>
    </row>
    <row r="11" spans="1:6" x14ac:dyDescent="0.3">
      <c r="A11" s="113">
        <v>1.3</v>
      </c>
      <c r="B11" s="120" t="s">
        <v>108</v>
      </c>
      <c r="C11" s="242">
        <f>'2. SOFP'!E10</f>
        <v>57612367.370000027</v>
      </c>
      <c r="D11" s="242"/>
      <c r="E11" s="242">
        <f t="shared" si="0"/>
        <v>57612367.370000027</v>
      </c>
    </row>
    <row r="12" spans="1:6" x14ac:dyDescent="0.3">
      <c r="A12" s="113">
        <v>2</v>
      </c>
      <c r="B12" s="122" t="s">
        <v>109</v>
      </c>
      <c r="C12" s="242">
        <f>'2. SOFP'!E11</f>
        <v>25490</v>
      </c>
      <c r="D12" s="242"/>
      <c r="E12" s="242">
        <f t="shared" si="0"/>
        <v>25490</v>
      </c>
      <c r="F12" s="243">
        <f>E12-'2. SOFP'!E11</f>
        <v>0</v>
      </c>
    </row>
    <row r="13" spans="1:6" x14ac:dyDescent="0.3">
      <c r="A13" s="113">
        <v>2.1</v>
      </c>
      <c r="B13" s="123" t="s">
        <v>110</v>
      </c>
      <c r="C13" s="242">
        <f>'2. SOFP'!E12</f>
        <v>25490</v>
      </c>
      <c r="D13" s="242"/>
      <c r="E13" s="242">
        <f t="shared" si="0"/>
        <v>25490</v>
      </c>
    </row>
    <row r="14" spans="1:6" ht="33.9" customHeight="1" x14ac:dyDescent="0.3">
      <c r="A14" s="113">
        <v>3</v>
      </c>
      <c r="B14" s="124" t="s">
        <v>111</v>
      </c>
      <c r="C14" s="242">
        <f>'2. SOFP'!E13</f>
        <v>0</v>
      </c>
      <c r="D14" s="242"/>
      <c r="E14" s="242">
        <f t="shared" si="0"/>
        <v>0</v>
      </c>
    </row>
    <row r="15" spans="1:6" ht="32.4" customHeight="1" x14ac:dyDescent="0.3">
      <c r="A15" s="113">
        <v>4</v>
      </c>
      <c r="B15" s="125" t="s">
        <v>112</v>
      </c>
      <c r="C15" s="242">
        <f>'2. SOFP'!E14</f>
        <v>0</v>
      </c>
      <c r="D15" s="242"/>
      <c r="E15" s="242">
        <f t="shared" si="0"/>
        <v>0</v>
      </c>
    </row>
    <row r="16" spans="1:6" ht="23.1" customHeight="1" x14ac:dyDescent="0.3">
      <c r="A16" s="113">
        <v>5</v>
      </c>
      <c r="B16" s="125" t="s">
        <v>113</v>
      </c>
      <c r="C16" s="242">
        <f>SUM(C17:C19)</f>
        <v>20000</v>
      </c>
      <c r="D16" s="242">
        <f>SUM(D17:D19)</f>
        <v>0</v>
      </c>
      <c r="E16" s="242">
        <f>SUM(E17:E19)</f>
        <v>20000</v>
      </c>
      <c r="F16" s="243">
        <f>E16-'2. SOFP'!E15</f>
        <v>0</v>
      </c>
    </row>
    <row r="17" spans="1:6" x14ac:dyDescent="0.3">
      <c r="A17" s="113">
        <v>5.0999999999999996</v>
      </c>
      <c r="B17" s="128" t="s">
        <v>114</v>
      </c>
      <c r="C17" s="242">
        <f>'2. SOFP'!E16</f>
        <v>20000</v>
      </c>
      <c r="D17" s="242"/>
      <c r="E17" s="242">
        <f>C17-D17</f>
        <v>20000</v>
      </c>
    </row>
    <row r="18" spans="1:6" x14ac:dyDescent="0.3">
      <c r="A18" s="113">
        <v>5.2</v>
      </c>
      <c r="B18" s="128" t="s">
        <v>115</v>
      </c>
      <c r="C18" s="242">
        <f>'2. SOFP'!E17</f>
        <v>0</v>
      </c>
      <c r="D18" s="242"/>
      <c r="E18" s="242">
        <f>C18-D18</f>
        <v>0</v>
      </c>
    </row>
    <row r="19" spans="1:6" x14ac:dyDescent="0.3">
      <c r="A19" s="113">
        <v>5.3</v>
      </c>
      <c r="B19" s="128" t="s">
        <v>116</v>
      </c>
      <c r="C19" s="242">
        <f>'2. SOFP'!E18</f>
        <v>0</v>
      </c>
      <c r="D19" s="242"/>
      <c r="E19" s="242">
        <f>C19-D19</f>
        <v>0</v>
      </c>
    </row>
    <row r="20" spans="1:6" ht="20.399999999999999" x14ac:dyDescent="0.3">
      <c r="A20" s="113">
        <v>6</v>
      </c>
      <c r="B20" s="124" t="s">
        <v>117</v>
      </c>
      <c r="C20" s="242">
        <f>SUM(C21:C22)</f>
        <v>55444087.978069715</v>
      </c>
      <c r="D20" s="242">
        <f>SUM(D21:D22)</f>
        <v>0</v>
      </c>
      <c r="E20" s="242">
        <f>SUM(E21:E22)</f>
        <v>55444087.978069715</v>
      </c>
      <c r="F20" s="243">
        <f>E20-'2. SOFP'!E19</f>
        <v>0</v>
      </c>
    </row>
    <row r="21" spans="1:6" x14ac:dyDescent="0.3">
      <c r="A21" s="113">
        <v>6.1</v>
      </c>
      <c r="B21" s="128" t="s">
        <v>115</v>
      </c>
      <c r="C21" s="244">
        <f>'2. SOFP'!E20</f>
        <v>24831249.678959433</v>
      </c>
      <c r="D21" s="244"/>
      <c r="E21" s="244">
        <f>C21-D21</f>
        <v>24831249.678959433</v>
      </c>
    </row>
    <row r="22" spans="1:6" x14ac:dyDescent="0.3">
      <c r="A22" s="113">
        <v>6.2</v>
      </c>
      <c r="B22" s="245" t="s">
        <v>116</v>
      </c>
      <c r="C22" s="244">
        <f>'2. SOFP'!E21</f>
        <v>30612838.299110282</v>
      </c>
      <c r="D22" s="244"/>
      <c r="E22" s="244">
        <f>C22-D22</f>
        <v>30612838.299110282</v>
      </c>
    </row>
    <row r="23" spans="1:6" ht="20.399999999999999" x14ac:dyDescent="0.3">
      <c r="A23" s="113">
        <v>7</v>
      </c>
      <c r="B23" s="137" t="s">
        <v>118</v>
      </c>
      <c r="C23" s="244">
        <f>'2. SOFP'!E22</f>
        <v>0</v>
      </c>
      <c r="D23" s="244"/>
      <c r="E23" s="244">
        <f>C23-D23</f>
        <v>0</v>
      </c>
    </row>
    <row r="24" spans="1:6" ht="20.399999999999999" x14ac:dyDescent="0.3">
      <c r="A24" s="113">
        <v>8</v>
      </c>
      <c r="B24" s="130" t="s">
        <v>119</v>
      </c>
      <c r="C24" s="244">
        <f>'2. SOFP'!E23</f>
        <v>3351211.9415073614</v>
      </c>
      <c r="D24" s="244"/>
      <c r="E24" s="244">
        <f>C24-D24</f>
        <v>3351211.9415073614</v>
      </c>
      <c r="F24" s="243">
        <f>E24-'2. SOFP'!E23</f>
        <v>0</v>
      </c>
    </row>
    <row r="25" spans="1:6" x14ac:dyDescent="0.3">
      <c r="A25" s="113">
        <v>9</v>
      </c>
      <c r="B25" s="125" t="s">
        <v>120</v>
      </c>
      <c r="C25" s="244">
        <f>SUM(C26:C27)</f>
        <v>20331789.659999996</v>
      </c>
      <c r="D25" s="244">
        <f>SUM(D26:D27)</f>
        <v>0</v>
      </c>
      <c r="E25" s="244">
        <f>SUM(E26:E27)</f>
        <v>20331789.659999996</v>
      </c>
      <c r="F25" s="243">
        <f>E25-'2. SOFP'!E24</f>
        <v>0</v>
      </c>
    </row>
    <row r="26" spans="1:6" x14ac:dyDescent="0.3">
      <c r="A26" s="113">
        <v>9.1</v>
      </c>
      <c r="B26" s="131" t="s">
        <v>121</v>
      </c>
      <c r="C26" s="244">
        <f>'2. SOFP'!E25</f>
        <v>20331789.659999996</v>
      </c>
      <c r="D26" s="244"/>
      <c r="E26" s="244">
        <f>C26-D26</f>
        <v>20331789.659999996</v>
      </c>
    </row>
    <row r="27" spans="1:6" x14ac:dyDescent="0.3">
      <c r="A27" s="113">
        <v>9.1999999999999993</v>
      </c>
      <c r="B27" s="131" t="s">
        <v>122</v>
      </c>
      <c r="C27" s="244">
        <f>'2. SOFP'!E26</f>
        <v>0</v>
      </c>
      <c r="D27" s="244"/>
      <c r="E27" s="244">
        <f>C27-D27</f>
        <v>0</v>
      </c>
    </row>
    <row r="28" spans="1:6" x14ac:dyDescent="0.3">
      <c r="A28" s="113">
        <v>10</v>
      </c>
      <c r="B28" s="125" t="s">
        <v>123</v>
      </c>
      <c r="C28" s="244">
        <f>SUM(C29:C30)</f>
        <v>1084649.3200000005</v>
      </c>
      <c r="D28" s="244">
        <f>SUM(D29:D30)</f>
        <v>1084649.3200000005</v>
      </c>
      <c r="E28" s="244">
        <f>SUM(E29:E30)</f>
        <v>0</v>
      </c>
      <c r="F28" s="243">
        <f>C28-'2. SOFP'!E27</f>
        <v>0</v>
      </c>
    </row>
    <row r="29" spans="1:6" x14ac:dyDescent="0.3">
      <c r="A29" s="113">
        <v>10.1</v>
      </c>
      <c r="B29" s="131" t="s">
        <v>124</v>
      </c>
      <c r="C29" s="244">
        <f>'2. SOFP'!E28</f>
        <v>0</v>
      </c>
      <c r="D29" s="244"/>
      <c r="E29" s="244">
        <f>C29-D29</f>
        <v>0</v>
      </c>
    </row>
    <row r="30" spans="1:6" x14ac:dyDescent="0.3">
      <c r="A30" s="113">
        <v>10.199999999999999</v>
      </c>
      <c r="B30" s="131" t="s">
        <v>125</v>
      </c>
      <c r="C30" s="244">
        <f>'2. SOFP'!E29</f>
        <v>1084649.3200000005</v>
      </c>
      <c r="D30" s="244">
        <f>C30</f>
        <v>1084649.3200000005</v>
      </c>
      <c r="E30" s="244">
        <f>C30-D30</f>
        <v>0</v>
      </c>
    </row>
    <row r="31" spans="1:6" x14ac:dyDescent="0.3">
      <c r="A31" s="113">
        <v>11</v>
      </c>
      <c r="B31" s="125" t="s">
        <v>126</v>
      </c>
      <c r="C31" s="244">
        <f>SUM(C32:C33)</f>
        <v>45248.5</v>
      </c>
      <c r="D31" s="244">
        <f>SUM(D32:D33)</f>
        <v>0</v>
      </c>
      <c r="E31" s="244">
        <f>SUM(E32:E33)</f>
        <v>45248.5</v>
      </c>
      <c r="F31" s="243">
        <f>E31-'2. SOFP'!E30</f>
        <v>0</v>
      </c>
    </row>
    <row r="32" spans="1:6" x14ac:dyDescent="0.3">
      <c r="A32" s="113">
        <v>11.1</v>
      </c>
      <c r="B32" s="131" t="s">
        <v>127</v>
      </c>
      <c r="C32" s="244">
        <f>'2. SOFP'!E31</f>
        <v>45248.5</v>
      </c>
      <c r="D32" s="244"/>
      <c r="E32" s="244">
        <f>C32-D32</f>
        <v>45248.5</v>
      </c>
    </row>
    <row r="33" spans="1:7" x14ac:dyDescent="0.3">
      <c r="A33" s="113">
        <v>11.2</v>
      </c>
      <c r="B33" s="131" t="s">
        <v>128</v>
      </c>
      <c r="C33" s="244">
        <f>'2. SOFP'!E32</f>
        <v>0</v>
      </c>
      <c r="D33" s="244"/>
      <c r="E33" s="244">
        <f>C33-D33</f>
        <v>0</v>
      </c>
    </row>
    <row r="34" spans="1:7" x14ac:dyDescent="0.3">
      <c r="A34" s="113">
        <v>13</v>
      </c>
      <c r="B34" s="125" t="s">
        <v>129</v>
      </c>
      <c r="C34" s="244">
        <f>'2. SOFP'!E33</f>
        <v>2185557</v>
      </c>
      <c r="D34" s="244"/>
      <c r="E34" s="244">
        <f>C34-D34</f>
        <v>2185557</v>
      </c>
      <c r="F34" s="243">
        <f>E34-'2. SOFP'!E33</f>
        <v>0</v>
      </c>
    </row>
    <row r="35" spans="1:7" x14ac:dyDescent="0.3">
      <c r="A35" s="113">
        <v>13.1</v>
      </c>
      <c r="B35" s="132" t="s">
        <v>130</v>
      </c>
      <c r="C35" s="244">
        <f>'2. SOFP'!E34</f>
        <v>0</v>
      </c>
      <c r="D35" s="244"/>
      <c r="E35" s="244">
        <f>C35-D35</f>
        <v>0</v>
      </c>
    </row>
    <row r="36" spans="1:7" x14ac:dyDescent="0.3">
      <c r="A36" s="113">
        <v>13.2</v>
      </c>
      <c r="B36" s="132" t="s">
        <v>131</v>
      </c>
      <c r="C36" s="244">
        <f>'2. SOFP'!E35</f>
        <v>0</v>
      </c>
      <c r="D36" s="244"/>
      <c r="E36" s="244">
        <f>C36-D36</f>
        <v>0</v>
      </c>
    </row>
    <row r="37" spans="1:7" ht="42" thickBot="1" x14ac:dyDescent="0.35">
      <c r="A37" s="246"/>
      <c r="B37" s="247" t="s">
        <v>305</v>
      </c>
      <c r="C37" s="248">
        <f>SUM(C8,C12,C14,C15,C16,C20,C23,C24,C25,C28,C31,C34)</f>
        <v>150061188.39957714</v>
      </c>
      <c r="D37" s="248">
        <f>SUM(D8,D12,D14,D15,D16,D20,D23,D24,D25,D28,D31,D34)</f>
        <v>1084649.3200000005</v>
      </c>
      <c r="E37" s="248">
        <f>SUM(E8,E12,E14,E15,E16,E20,E23,E24,E25,E28,E31,E34)</f>
        <v>148976539.07957715</v>
      </c>
    </row>
    <row r="38" spans="1:7" x14ac:dyDescent="0.3">
      <c r="A38"/>
      <c r="B38"/>
      <c r="C38"/>
      <c r="D38"/>
      <c r="E38"/>
    </row>
    <row r="39" spans="1:7" s="20" customFormat="1" x14ac:dyDescent="0.3">
      <c r="B39" s="250"/>
      <c r="F39" s="226"/>
      <c r="G39"/>
    </row>
    <row r="40" spans="1:7" s="20" customFormat="1" x14ac:dyDescent="0.3">
      <c r="B40" s="249"/>
      <c r="F40" s="226"/>
      <c r="G40"/>
    </row>
    <row r="41" spans="1:7" s="20" customFormat="1" x14ac:dyDescent="0.3">
      <c r="B41" s="249"/>
      <c r="F41" s="226"/>
      <c r="G41"/>
    </row>
    <row r="42" spans="1:7" s="20" customFormat="1" x14ac:dyDescent="0.3">
      <c r="B42" s="249"/>
      <c r="F42" s="226"/>
      <c r="G42"/>
    </row>
    <row r="43" spans="1:7" s="20" customFormat="1" x14ac:dyDescent="0.3">
      <c r="B43" s="249"/>
      <c r="F43" s="226"/>
      <c r="G43"/>
    </row>
    <row r="44" spans="1:7" s="20" customFormat="1" x14ac:dyDescent="0.3">
      <c r="B44" s="249"/>
      <c r="F44" s="226"/>
      <c r="G44"/>
    </row>
    <row r="45" spans="1:7" s="20" customFormat="1" x14ac:dyDescent="0.3">
      <c r="B45" s="250"/>
      <c r="F45" s="226"/>
      <c r="G45"/>
    </row>
    <row r="46" spans="1:7" s="20" customFormat="1" x14ac:dyDescent="0.3">
      <c r="B46" s="250"/>
      <c r="F46" s="226"/>
      <c r="G46"/>
    </row>
    <row r="47" spans="1:7" s="20" customFormat="1" x14ac:dyDescent="0.3">
      <c r="B47" s="250"/>
      <c r="F47" s="226"/>
      <c r="G47"/>
    </row>
    <row r="48" spans="1:7" s="20" customFormat="1" x14ac:dyDescent="0.3">
      <c r="B48" s="250"/>
      <c r="F48" s="226"/>
      <c r="G48"/>
    </row>
    <row r="49" spans="2:7" s="20" customFormat="1" x14ac:dyDescent="0.3">
      <c r="B49" s="250"/>
      <c r="F49" s="226"/>
      <c r="G49"/>
    </row>
    <row r="50" spans="2:7" s="20" customFormat="1" x14ac:dyDescent="0.3">
      <c r="B50" s="250"/>
      <c r="F50" s="226"/>
      <c r="G50"/>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9700E-FBDD-45A1-85F2-F431A061DED4}">
  <dimension ref="A1:G33"/>
  <sheetViews>
    <sheetView zoomScaleNormal="100" workbookViewId="0">
      <pane xSplit="1" ySplit="4" topLeftCell="B5" activePane="bottomRight" state="frozen"/>
      <selection activeCell="C8" sqref="C8"/>
      <selection pane="topRight" activeCell="C8" sqref="C8"/>
      <selection pane="bottomLeft" activeCell="C8" sqref="C8"/>
      <selection pane="bottomRight" activeCell="C5" sqref="C5:C13"/>
    </sheetView>
  </sheetViews>
  <sheetFormatPr defaultRowHeight="14.4" outlineLevelRow="1" x14ac:dyDescent="0.3"/>
  <cols>
    <col min="1" max="1" width="9.5546875" style="20" bestFit="1" customWidth="1"/>
    <col min="2" max="2" width="114.33203125" style="20" customWidth="1"/>
    <col min="3" max="3" width="18.88671875" customWidth="1"/>
    <col min="4" max="4" width="24" customWidth="1"/>
    <col min="5" max="5" width="62.109375" customWidth="1"/>
    <col min="6" max="6" width="12" bestFit="1" customWidth="1"/>
    <col min="7" max="7" width="12.5546875" bestFit="1" customWidth="1"/>
  </cols>
  <sheetData>
    <row r="1" spans="1:4" x14ac:dyDescent="0.3">
      <c r="A1" s="21" t="s">
        <v>41</v>
      </c>
      <c r="B1" s="23" t="str">
        <f>Info!C2</f>
        <v>სს სილქ ბანკი</v>
      </c>
    </row>
    <row r="2" spans="1:4" s="21" customFormat="1" ht="15.75" customHeight="1" x14ac:dyDescent="0.3">
      <c r="A2" s="21" t="s">
        <v>42</v>
      </c>
      <c r="B2" s="24">
        <f>'1. key ratios'!B2</f>
        <v>45199</v>
      </c>
      <c r="C2"/>
      <c r="D2"/>
    </row>
    <row r="3" spans="1:4" s="21" customFormat="1" ht="15.75" customHeight="1" x14ac:dyDescent="0.3">
      <c r="C3"/>
      <c r="D3"/>
    </row>
    <row r="4" spans="1:4" s="21" customFormat="1" ht="40.5" customHeight="1" thickBot="1" x14ac:dyDescent="0.35">
      <c r="A4" s="21" t="s">
        <v>306</v>
      </c>
      <c r="B4" s="251" t="s">
        <v>19</v>
      </c>
      <c r="C4" s="231" t="s">
        <v>245</v>
      </c>
      <c r="D4"/>
    </row>
    <row r="5" spans="1:4" x14ac:dyDescent="0.3">
      <c r="A5" s="252">
        <v>1</v>
      </c>
      <c r="B5" s="253" t="s">
        <v>307</v>
      </c>
      <c r="C5" s="254">
        <f>'7. LI1'!E37</f>
        <v>148976539.07957715</v>
      </c>
    </row>
    <row r="6" spans="1:4" x14ac:dyDescent="0.3">
      <c r="A6" s="255">
        <v>2.1</v>
      </c>
      <c r="B6" s="256" t="s">
        <v>308</v>
      </c>
      <c r="C6" s="257">
        <v>6787249.4389791349</v>
      </c>
    </row>
    <row r="7" spans="1:4" s="261" customFormat="1" ht="27.6" outlineLevel="1" x14ac:dyDescent="0.3">
      <c r="A7" s="258">
        <v>2.2000000000000002</v>
      </c>
      <c r="B7" s="259" t="s">
        <v>309</v>
      </c>
      <c r="C7" s="260">
        <f>'4. Off-balance'!E32+'4. Off-balance'!E31</f>
        <v>6670400</v>
      </c>
    </row>
    <row r="8" spans="1:4" s="261" customFormat="1" ht="27.6" x14ac:dyDescent="0.3">
      <c r="A8" s="258">
        <v>3</v>
      </c>
      <c r="B8" s="262" t="s">
        <v>310</v>
      </c>
      <c r="C8" s="263">
        <f>SUM(C5:C7)</f>
        <v>162434188.5185563</v>
      </c>
    </row>
    <row r="9" spans="1:4" x14ac:dyDescent="0.3">
      <c r="A9" s="255">
        <v>4</v>
      </c>
      <c r="B9" s="264" t="s">
        <v>311</v>
      </c>
      <c r="C9" s="257">
        <v>0</v>
      </c>
    </row>
    <row r="10" spans="1:4" s="261" customFormat="1" ht="27.6" outlineLevel="1" x14ac:dyDescent="0.3">
      <c r="A10" s="258">
        <v>5.0999999999999996</v>
      </c>
      <c r="B10" s="259" t="s">
        <v>312</v>
      </c>
      <c r="C10" s="260">
        <f>-C6+'5. RWA'!C9</f>
        <v>-2969946.4208570654</v>
      </c>
    </row>
    <row r="11" spans="1:4" s="261" customFormat="1" ht="27.6" outlineLevel="1" x14ac:dyDescent="0.3">
      <c r="A11" s="258">
        <v>5.2</v>
      </c>
      <c r="B11" s="259" t="s">
        <v>313</v>
      </c>
      <c r="C11" s="260">
        <f>-C7+'5. RWA'!C10</f>
        <v>-6536992</v>
      </c>
    </row>
    <row r="12" spans="1:4" s="261" customFormat="1" x14ac:dyDescent="0.3">
      <c r="A12" s="258">
        <v>6</v>
      </c>
      <c r="B12" s="265" t="s">
        <v>314</v>
      </c>
      <c r="C12" s="260"/>
    </row>
    <row r="13" spans="1:4" s="261" customFormat="1" ht="15" thickBot="1" x14ac:dyDescent="0.35">
      <c r="A13" s="266">
        <v>7</v>
      </c>
      <c r="B13" s="267" t="s">
        <v>315</v>
      </c>
      <c r="C13" s="268">
        <f>SUM(C8:C12)</f>
        <v>152927250.09769922</v>
      </c>
    </row>
    <row r="15" spans="1:4" ht="27.6" x14ac:dyDescent="0.3">
      <c r="B15" s="109" t="s">
        <v>316</v>
      </c>
      <c r="C15" s="269"/>
    </row>
    <row r="17" spans="2:7" s="20" customFormat="1" x14ac:dyDescent="0.3">
      <c r="B17" s="270"/>
      <c r="C17"/>
      <c r="D17"/>
      <c r="E17"/>
      <c r="F17"/>
      <c r="G17"/>
    </row>
    <row r="18" spans="2:7" s="20" customFormat="1" x14ac:dyDescent="0.3">
      <c r="B18" s="271"/>
      <c r="C18"/>
      <c r="D18"/>
      <c r="E18"/>
      <c r="F18"/>
      <c r="G18"/>
    </row>
    <row r="19" spans="2:7" s="20" customFormat="1" x14ac:dyDescent="0.3">
      <c r="B19" s="271"/>
      <c r="C19"/>
      <c r="D19"/>
      <c r="E19"/>
      <c r="F19"/>
      <c r="G19"/>
    </row>
    <row r="20" spans="2:7" s="20" customFormat="1" x14ac:dyDescent="0.3">
      <c r="B20" s="250"/>
      <c r="C20"/>
      <c r="D20"/>
      <c r="E20"/>
      <c r="F20"/>
      <c r="G20"/>
    </row>
    <row r="21" spans="2:7" s="20" customFormat="1" x14ac:dyDescent="0.3">
      <c r="B21" s="249"/>
      <c r="C21"/>
      <c r="D21"/>
      <c r="E21"/>
      <c r="F21"/>
      <c r="G21"/>
    </row>
    <row r="22" spans="2:7" s="20" customFormat="1" x14ac:dyDescent="0.3">
      <c r="B22" s="203"/>
      <c r="C22"/>
      <c r="D22"/>
      <c r="E22"/>
      <c r="F22"/>
      <c r="G22"/>
    </row>
    <row r="23" spans="2:7" s="20" customFormat="1" x14ac:dyDescent="0.3">
      <c r="B23" s="249"/>
      <c r="C23"/>
      <c r="D23"/>
      <c r="E23"/>
      <c r="F23"/>
      <c r="G23"/>
    </row>
    <row r="24" spans="2:7" s="20" customFormat="1" x14ac:dyDescent="0.3">
      <c r="B24" s="249"/>
      <c r="C24"/>
      <c r="D24"/>
      <c r="E24"/>
      <c r="F24"/>
      <c r="G24"/>
    </row>
    <row r="25" spans="2:7" s="20" customFormat="1" x14ac:dyDescent="0.3">
      <c r="B25" s="249"/>
      <c r="C25"/>
      <c r="D25"/>
      <c r="E25"/>
      <c r="F25"/>
      <c r="G25"/>
    </row>
    <row r="26" spans="2:7" s="20" customFormat="1" x14ac:dyDescent="0.3">
      <c r="B26" s="249"/>
      <c r="C26"/>
      <c r="D26"/>
      <c r="E26"/>
      <c r="F26"/>
      <c r="G26"/>
    </row>
    <row r="27" spans="2:7" s="20" customFormat="1" x14ac:dyDescent="0.3">
      <c r="B27" s="249"/>
      <c r="C27"/>
      <c r="D27"/>
      <c r="E27"/>
      <c r="F27"/>
      <c r="G27"/>
    </row>
    <row r="28" spans="2:7" s="20" customFormat="1" x14ac:dyDescent="0.3">
      <c r="B28" s="250"/>
      <c r="C28"/>
      <c r="D28"/>
      <c r="E28"/>
      <c r="F28"/>
      <c r="G28"/>
    </row>
    <row r="29" spans="2:7" s="20" customFormat="1" x14ac:dyDescent="0.3">
      <c r="B29" s="250"/>
      <c r="C29"/>
      <c r="D29"/>
      <c r="E29"/>
      <c r="F29"/>
      <c r="G29"/>
    </row>
    <row r="30" spans="2:7" s="20" customFormat="1" x14ac:dyDescent="0.3">
      <c r="B30" s="250"/>
      <c r="C30"/>
      <c r="D30"/>
      <c r="E30"/>
      <c r="F30"/>
      <c r="G30"/>
    </row>
    <row r="31" spans="2:7" s="20" customFormat="1" x14ac:dyDescent="0.3">
      <c r="B31" s="250"/>
      <c r="C31"/>
      <c r="D31"/>
      <c r="E31"/>
      <c r="F31"/>
      <c r="G31"/>
    </row>
    <row r="32" spans="2:7" s="20" customFormat="1" x14ac:dyDescent="0.3">
      <c r="B32" s="250"/>
      <c r="C32"/>
      <c r="D32"/>
      <c r="E32"/>
      <c r="F32"/>
      <c r="G32"/>
    </row>
    <row r="33" spans="2:7" s="20" customFormat="1" x14ac:dyDescent="0.3">
      <c r="B33" s="250"/>
      <c r="C33"/>
      <c r="D33"/>
      <c r="E33"/>
      <c r="F33"/>
      <c r="G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Potskhverashvili</dc:creator>
  <cp:lastModifiedBy>Irma Potskhverashvili</cp:lastModifiedBy>
  <dcterms:created xsi:type="dcterms:W3CDTF">2023-10-27T10:52:38Z</dcterms:created>
  <dcterms:modified xsi:type="dcterms:W3CDTF">2023-10-31T07:10:17Z</dcterms:modified>
</cp:coreProperties>
</file>