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potskhverashvili\Desktop\გამჭვირვალობა ახალი\ხელახლა ასატვირთი\"/>
    </mc:Choice>
  </mc:AlternateContent>
  <xr:revisionPtr revIDLastSave="0" documentId="13_ncr:1_{78B216A0-1C50-408E-93B1-E90FD556D814}" xr6:coauthVersionLast="47" xr6:coauthVersionMax="47" xr10:uidLastSave="{00000000-0000-0000-0000-000000000000}"/>
  <bookViews>
    <workbookView xWindow="-120" yWindow="-120" windowWidth="29040" windowHeight="15840" tabRatio="898" firstSheet="15" activeTab="24" xr2:uid="{4DD59AFF-2242-408E-9C5A-9C6976285CF2}"/>
  </bookViews>
  <sheets>
    <sheet name="Info" sheetId="1" r:id="rId1"/>
    <sheet name="1. key ratios" sheetId="2" r:id="rId2"/>
    <sheet name="2. RC" sheetId="3" r:id="rId3"/>
    <sheet name="3. 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externalReferences>
    <externalReference r:id="rId30"/>
    <externalReference r:id="rId31"/>
    <externalReference r:id="rId32"/>
  </externalReferences>
  <definedNames>
    <definedName name="_cur1">'[1]Appl (2)'!$F$2:$F$7200</definedName>
    <definedName name="_cur2">'[1]Appl (2)'!$H$2:$H$7200</definedName>
    <definedName name="_xlnm._FilterDatabase" localSheetId="4" hidden="1">'4. Off-Balance'!$B$6:$H$53</definedName>
    <definedName name="_sum1">'[1]Appl (2)'!$E$2:$E$7200</definedName>
    <definedName name="_sum2">'[1]Appl (2)'!$G$2:$G$7200</definedName>
    <definedName name="ACC_BALACC">#REF!</definedName>
    <definedName name="ACC_CRS">#REF!</definedName>
    <definedName name="ACC_DBS">#REF!</definedName>
    <definedName name="ACC_ISO">#REF!</definedName>
    <definedName name="ACC_SALDO">#REF!</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9" i="29" l="1"/>
  <c r="I18" i="29"/>
  <c r="C18" i="29"/>
  <c r="I17" i="29"/>
  <c r="C17" i="29"/>
  <c r="I16" i="29"/>
  <c r="C16" i="29"/>
  <c r="I15" i="29"/>
  <c r="C15" i="29"/>
  <c r="I13" i="29"/>
  <c r="C13" i="29"/>
  <c r="I12" i="29"/>
  <c r="C12" i="29"/>
  <c r="I11" i="29"/>
  <c r="C11" i="29"/>
  <c r="I10" i="29"/>
  <c r="C10" i="29"/>
  <c r="I9" i="29"/>
  <c r="C9" i="29"/>
  <c r="I8" i="29"/>
  <c r="C8" i="29"/>
  <c r="I7" i="29"/>
  <c r="C7" i="29"/>
  <c r="I32" i="27"/>
  <c r="C32" i="27"/>
  <c r="I31" i="27"/>
  <c r="C31" i="27"/>
  <c r="I30" i="27"/>
  <c r="C30" i="27"/>
  <c r="I29" i="27"/>
  <c r="C29" i="27"/>
  <c r="I28" i="27"/>
  <c r="C28" i="27"/>
  <c r="I27" i="27"/>
  <c r="C27" i="27"/>
  <c r="I26" i="27"/>
  <c r="C26" i="27"/>
  <c r="I25" i="27"/>
  <c r="C25" i="27"/>
  <c r="I24" i="27"/>
  <c r="C24" i="27"/>
  <c r="I23" i="27"/>
  <c r="C23" i="27"/>
  <c r="I22" i="27"/>
  <c r="C22" i="27"/>
  <c r="I21" i="27"/>
  <c r="C21" i="27"/>
  <c r="I20" i="27"/>
  <c r="C20" i="27"/>
  <c r="I19" i="27"/>
  <c r="C19" i="27"/>
  <c r="I18" i="27"/>
  <c r="C18" i="27"/>
  <c r="I17" i="27"/>
  <c r="C17" i="27"/>
  <c r="I16" i="27"/>
  <c r="C16" i="27"/>
  <c r="I15" i="27"/>
  <c r="C15" i="27"/>
  <c r="I14" i="27"/>
  <c r="C14" i="27"/>
  <c r="I13" i="27"/>
  <c r="C13" i="27"/>
  <c r="I12" i="27"/>
  <c r="C12" i="27"/>
  <c r="I11" i="27"/>
  <c r="C11" i="27"/>
  <c r="I10" i="27"/>
  <c r="C10" i="27"/>
  <c r="I9" i="27"/>
  <c r="C9" i="27"/>
  <c r="I8" i="27"/>
  <c r="C8" i="27"/>
  <c r="N33" i="27"/>
  <c r="M33" i="27"/>
  <c r="L33" i="27"/>
  <c r="K33" i="27"/>
  <c r="J33" i="27"/>
  <c r="H33" i="27"/>
  <c r="G33" i="27"/>
  <c r="F33" i="27"/>
  <c r="E33" i="27"/>
  <c r="C7" i="27"/>
  <c r="R16" i="26"/>
  <c r="T18" i="26"/>
  <c r="P18" i="26"/>
  <c r="H18" i="26"/>
  <c r="T17" i="26"/>
  <c r="S17" i="26"/>
  <c r="S16" i="26" s="1"/>
  <c r="Q17" i="26"/>
  <c r="P17" i="26"/>
  <c r="P16" i="26" s="1"/>
  <c r="O17" i="26"/>
  <c r="O16" i="26" s="1"/>
  <c r="N17" i="26"/>
  <c r="M17" i="26"/>
  <c r="M16" i="26" s="1"/>
  <c r="K17" i="26"/>
  <c r="K16" i="26" s="1"/>
  <c r="J17" i="26"/>
  <c r="J16" i="26" s="1"/>
  <c r="I17" i="26"/>
  <c r="I16" i="26" s="1"/>
  <c r="H17" i="26"/>
  <c r="H16" i="26" s="1"/>
  <c r="G17" i="26"/>
  <c r="G16" i="26" s="1"/>
  <c r="F17" i="26"/>
  <c r="E17" i="26"/>
  <c r="E16" i="26" s="1"/>
  <c r="K8" i="28"/>
  <c r="C26" i="25"/>
  <c r="C25" i="25"/>
  <c r="C24" i="25"/>
  <c r="C23" i="25"/>
  <c r="U22" i="25"/>
  <c r="T22" i="25"/>
  <c r="S22" i="25"/>
  <c r="R22" i="25"/>
  <c r="Q22" i="25"/>
  <c r="P22" i="25"/>
  <c r="O22" i="25"/>
  <c r="N22" i="25"/>
  <c r="M22" i="25"/>
  <c r="L22" i="25"/>
  <c r="K22" i="25"/>
  <c r="J22" i="25"/>
  <c r="I22" i="25"/>
  <c r="H22" i="25"/>
  <c r="G22" i="25"/>
  <c r="F22" i="25"/>
  <c r="E22" i="25"/>
  <c r="C21" i="25"/>
  <c r="C20" i="25"/>
  <c r="C19" i="25"/>
  <c r="C18" i="25"/>
  <c r="C16" i="25"/>
  <c r="U15" i="25"/>
  <c r="T15" i="25"/>
  <c r="S15" i="25"/>
  <c r="R15" i="25"/>
  <c r="Q15" i="25"/>
  <c r="P15" i="25"/>
  <c r="O15" i="25"/>
  <c r="N15" i="25"/>
  <c r="M15" i="25"/>
  <c r="L15" i="25"/>
  <c r="K15" i="25"/>
  <c r="J15" i="25"/>
  <c r="I15" i="25"/>
  <c r="H15" i="25"/>
  <c r="G15" i="25"/>
  <c r="F15" i="25"/>
  <c r="E15" i="25"/>
  <c r="N8" i="25"/>
  <c r="N8" i="26" s="1"/>
  <c r="J8" i="25"/>
  <c r="J8" i="26" s="1"/>
  <c r="U8" i="25"/>
  <c r="Q8" i="25"/>
  <c r="Q8" i="26" s="1"/>
  <c r="I8" i="25"/>
  <c r="I8" i="26" s="1"/>
  <c r="F8" i="25"/>
  <c r="F8" i="26" s="1"/>
  <c r="T8" i="25"/>
  <c r="T8" i="26" s="1"/>
  <c r="S8" i="25"/>
  <c r="S8" i="26" s="1"/>
  <c r="R8" i="25"/>
  <c r="R8" i="26" s="1"/>
  <c r="P8" i="25"/>
  <c r="P8" i="26" s="1"/>
  <c r="O8" i="25"/>
  <c r="O8" i="26" s="1"/>
  <c r="K8" i="25"/>
  <c r="K8" i="26" s="1"/>
  <c r="H8" i="25"/>
  <c r="H8" i="26" s="1"/>
  <c r="C16" i="24"/>
  <c r="C10" i="24" s="1"/>
  <c r="D12" i="23"/>
  <c r="C7" i="23"/>
  <c r="D7" i="23"/>
  <c r="I32" i="22"/>
  <c r="I31" i="22"/>
  <c r="I30" i="22"/>
  <c r="I29" i="22"/>
  <c r="I28" i="22"/>
  <c r="I27" i="22"/>
  <c r="I26" i="22"/>
  <c r="I25" i="22"/>
  <c r="I24" i="22"/>
  <c r="I23" i="22"/>
  <c r="I22" i="22"/>
  <c r="I21" i="22"/>
  <c r="I20" i="22"/>
  <c r="I19" i="22"/>
  <c r="I18" i="22"/>
  <c r="I17" i="22"/>
  <c r="I16" i="22"/>
  <c r="I15" i="22"/>
  <c r="I14" i="22"/>
  <c r="I13" i="22"/>
  <c r="I12" i="22"/>
  <c r="I11" i="22"/>
  <c r="I10" i="22"/>
  <c r="I9" i="22"/>
  <c r="H34" i="22"/>
  <c r="F34" i="22"/>
  <c r="I20" i="21"/>
  <c r="I17" i="21"/>
  <c r="I15" i="21"/>
  <c r="I14" i="21"/>
  <c r="F22" i="21"/>
  <c r="E21" i="21"/>
  <c r="D22" i="21"/>
  <c r="C22" i="21"/>
  <c r="H20" i="20"/>
  <c r="H19" i="20"/>
  <c r="H17" i="20"/>
  <c r="H16" i="20"/>
  <c r="H12" i="20"/>
  <c r="H11" i="20"/>
  <c r="H10" i="20"/>
  <c r="H9" i="20"/>
  <c r="G34" i="19"/>
  <c r="E33" i="19"/>
  <c r="G29" i="19"/>
  <c r="E24" i="19"/>
  <c r="F24" i="19"/>
  <c r="D24" i="19"/>
  <c r="G19" i="19"/>
  <c r="G18" i="19"/>
  <c r="F18" i="19"/>
  <c r="E18" i="19"/>
  <c r="D18" i="19"/>
  <c r="G17" i="19"/>
  <c r="E14" i="19"/>
  <c r="E11" i="19"/>
  <c r="F11" i="19"/>
  <c r="D8" i="19"/>
  <c r="N20" i="17"/>
  <c r="N19" i="17"/>
  <c r="E19" i="17"/>
  <c r="N18" i="17"/>
  <c r="E18" i="17"/>
  <c r="N17" i="17"/>
  <c r="E17" i="17"/>
  <c r="N16" i="17"/>
  <c r="E16" i="17"/>
  <c r="E14" i="17" s="1"/>
  <c r="N15" i="17"/>
  <c r="E15" i="17"/>
  <c r="M14" i="17"/>
  <c r="L14" i="17"/>
  <c r="K14" i="17"/>
  <c r="J14" i="17"/>
  <c r="I14" i="17"/>
  <c r="H14" i="17"/>
  <c r="G14" i="17"/>
  <c r="F14" i="17"/>
  <c r="C14" i="17"/>
  <c r="N13" i="17"/>
  <c r="N12" i="17"/>
  <c r="E12" i="17"/>
  <c r="N11" i="17"/>
  <c r="E11" i="17"/>
  <c r="N10" i="17"/>
  <c r="E10" i="17"/>
  <c r="N9" i="17"/>
  <c r="E9" i="17"/>
  <c r="C7" i="17"/>
  <c r="M7" i="17"/>
  <c r="L7" i="17"/>
  <c r="J7" i="17"/>
  <c r="J21" i="17" s="1"/>
  <c r="I7" i="17"/>
  <c r="H7" i="17"/>
  <c r="G7" i="17"/>
  <c r="F7" i="17"/>
  <c r="F21" i="17" s="1"/>
  <c r="H24" i="16"/>
  <c r="J23" i="16"/>
  <c r="J25" i="16" s="1"/>
  <c r="I23" i="16"/>
  <c r="G23" i="16"/>
  <c r="G25" i="16" s="1"/>
  <c r="F23" i="16"/>
  <c r="F25" i="16" s="1"/>
  <c r="J21" i="16"/>
  <c r="K21" i="16" s="1"/>
  <c r="I21" i="16"/>
  <c r="G21" i="16"/>
  <c r="F21" i="16"/>
  <c r="D21" i="16"/>
  <c r="C21" i="16"/>
  <c r="K20" i="16"/>
  <c r="H20" i="16"/>
  <c r="E20" i="16"/>
  <c r="K19" i="16"/>
  <c r="H19" i="16"/>
  <c r="E19" i="16"/>
  <c r="K18" i="16"/>
  <c r="H18" i="16"/>
  <c r="E18" i="16"/>
  <c r="J16" i="16"/>
  <c r="I16" i="16"/>
  <c r="G16" i="16"/>
  <c r="F16" i="16"/>
  <c r="H16" i="16" s="1"/>
  <c r="D16" i="16"/>
  <c r="E16" i="16" s="1"/>
  <c r="C16" i="16"/>
  <c r="K15" i="16"/>
  <c r="H15" i="16"/>
  <c r="E15" i="16"/>
  <c r="K14" i="16"/>
  <c r="H14" i="16"/>
  <c r="E14" i="16"/>
  <c r="K13" i="16"/>
  <c r="H13" i="16"/>
  <c r="E13" i="16"/>
  <c r="K12" i="16"/>
  <c r="H12" i="16"/>
  <c r="E12" i="16"/>
  <c r="K11" i="16"/>
  <c r="H11" i="16"/>
  <c r="E11" i="16"/>
  <c r="K10" i="16"/>
  <c r="H10" i="16"/>
  <c r="E10" i="16"/>
  <c r="K8" i="16"/>
  <c r="H8" i="16"/>
  <c r="H21" i="15"/>
  <c r="H20" i="15"/>
  <c r="H19" i="15"/>
  <c r="H18" i="15"/>
  <c r="H17" i="15"/>
  <c r="H16" i="15"/>
  <c r="H15" i="15"/>
  <c r="D22" i="15"/>
  <c r="H13" i="15"/>
  <c r="H10" i="15"/>
  <c r="H9" i="15"/>
  <c r="F22" i="15"/>
  <c r="C22"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R22" i="13"/>
  <c r="P22" i="13"/>
  <c r="L22" i="13"/>
  <c r="J22" i="13"/>
  <c r="H22" i="13"/>
  <c r="F22" i="13"/>
  <c r="D22" i="13"/>
  <c r="S21" i="13"/>
  <c r="S20" i="13"/>
  <c r="S16" i="13"/>
  <c r="S15" i="13"/>
  <c r="N22" i="13"/>
  <c r="S14" i="13"/>
  <c r="S13" i="13"/>
  <c r="S12" i="13"/>
  <c r="S11" i="13"/>
  <c r="O22" i="13"/>
  <c r="G22" i="13"/>
  <c r="M22" i="13"/>
  <c r="K22" i="13"/>
  <c r="E22" i="13"/>
  <c r="C22" i="13"/>
  <c r="C47" i="10"/>
  <c r="C35" i="10"/>
  <c r="C41" i="10" s="1"/>
  <c r="C31" i="10"/>
  <c r="C30" i="10" s="1"/>
  <c r="C15" i="10"/>
  <c r="C23" i="12" s="1"/>
  <c r="C9" i="9"/>
  <c r="D21" i="8"/>
  <c r="E18" i="8"/>
  <c r="E11" i="8"/>
  <c r="G13" i="6"/>
  <c r="F13" i="6"/>
  <c r="G6" i="6"/>
  <c r="F6" i="6"/>
  <c r="E6" i="6"/>
  <c r="D6" i="6"/>
  <c r="E53" i="5"/>
  <c r="E52" i="5"/>
  <c r="E51" i="5"/>
  <c r="E50" i="5"/>
  <c r="E49" i="5"/>
  <c r="E48" i="5"/>
  <c r="E47" i="5"/>
  <c r="E46" i="5"/>
  <c r="E45" i="5"/>
  <c r="E44" i="5"/>
  <c r="E43" i="5"/>
  <c r="E42" i="5"/>
  <c r="E41" i="5"/>
  <c r="H40" i="5"/>
  <c r="G40" i="5"/>
  <c r="F40" i="5"/>
  <c r="D40" i="5"/>
  <c r="C40" i="5"/>
  <c r="E40" i="5" s="1"/>
  <c r="E39" i="5"/>
  <c r="E38" i="5"/>
  <c r="E37" i="5"/>
  <c r="E36" i="5"/>
  <c r="E35" i="5"/>
  <c r="E34" i="5"/>
  <c r="E33" i="5"/>
  <c r="D32" i="5"/>
  <c r="H32" i="5"/>
  <c r="G32" i="5"/>
  <c r="F32" i="5"/>
  <c r="C32" i="5"/>
  <c r="E32" i="5" s="1"/>
  <c r="E31" i="5"/>
  <c r="E30" i="5"/>
  <c r="E29" i="5"/>
  <c r="E28" i="5"/>
  <c r="E27" i="5"/>
  <c r="E26" i="5"/>
  <c r="D19" i="5"/>
  <c r="E24" i="5"/>
  <c r="E23" i="5"/>
  <c r="E22" i="5"/>
  <c r="E21" i="5"/>
  <c r="H19" i="5"/>
  <c r="G19" i="5"/>
  <c r="F19" i="5"/>
  <c r="E18" i="5"/>
  <c r="E17" i="5"/>
  <c r="D16" i="5"/>
  <c r="H16" i="5"/>
  <c r="G16" i="5"/>
  <c r="F16" i="5"/>
  <c r="C16" i="5"/>
  <c r="E16" i="5" s="1"/>
  <c r="E15" i="5"/>
  <c r="E14" i="5"/>
  <c r="E13" i="5"/>
  <c r="E12" i="5"/>
  <c r="E11" i="5"/>
  <c r="E10" i="5"/>
  <c r="E9" i="5"/>
  <c r="H7" i="5"/>
  <c r="G7" i="5"/>
  <c r="F7" i="5"/>
  <c r="D7" i="5"/>
  <c r="E66" i="4"/>
  <c r="E64" i="4"/>
  <c r="C61" i="4"/>
  <c r="E61" i="4" s="1"/>
  <c r="E60" i="4"/>
  <c r="E59" i="4"/>
  <c r="E58" i="4"/>
  <c r="D53" i="4"/>
  <c r="C53" i="4"/>
  <c r="E52" i="4"/>
  <c r="E51" i="4"/>
  <c r="E50" i="4"/>
  <c r="E49" i="4"/>
  <c r="E48" i="4"/>
  <c r="E47" i="4"/>
  <c r="E44" i="4"/>
  <c r="E43" i="4"/>
  <c r="E42" i="4"/>
  <c r="E41" i="4"/>
  <c r="E40" i="4"/>
  <c r="E39" i="4"/>
  <c r="E38" i="4"/>
  <c r="E37" i="4"/>
  <c r="E36" i="4"/>
  <c r="E35" i="4"/>
  <c r="D34" i="4"/>
  <c r="E34" i="4" s="1"/>
  <c r="C34" i="4"/>
  <c r="C45" i="4" s="1"/>
  <c r="C54" i="4" s="1"/>
  <c r="D30" i="4"/>
  <c r="C30" i="4"/>
  <c r="E30" i="4" s="1"/>
  <c r="E29" i="4"/>
  <c r="E28" i="4"/>
  <c r="E27" i="4"/>
  <c r="E26" i="4"/>
  <c r="E25" i="4"/>
  <c r="E24" i="4"/>
  <c r="E21" i="4"/>
  <c r="E20" i="4"/>
  <c r="E19" i="4"/>
  <c r="E18" i="4"/>
  <c r="E17" i="4"/>
  <c r="E16" i="4"/>
  <c r="E15" i="4"/>
  <c r="E14" i="4"/>
  <c r="E13" i="4"/>
  <c r="E12" i="4"/>
  <c r="E11" i="4"/>
  <c r="E10" i="4"/>
  <c r="D9" i="4"/>
  <c r="D22" i="4" s="1"/>
  <c r="D31" i="4" s="1"/>
  <c r="C9" i="4"/>
  <c r="E8" i="4"/>
  <c r="D40" i="3"/>
  <c r="E40" i="3" s="1"/>
  <c r="C44" i="12"/>
  <c r="E38" i="3"/>
  <c r="C11" i="10" s="1"/>
  <c r="C43" i="12"/>
  <c r="E37" i="3"/>
  <c r="E34" i="3"/>
  <c r="E33" i="3"/>
  <c r="C7" i="10" s="1"/>
  <c r="C38" i="12"/>
  <c r="C44" i="10"/>
  <c r="C43" i="10" s="1"/>
  <c r="C52" i="10" s="1"/>
  <c r="E29" i="3"/>
  <c r="E27" i="3"/>
  <c r="E25" i="3"/>
  <c r="E23" i="3"/>
  <c r="E18" i="3"/>
  <c r="C19" i="8" s="1"/>
  <c r="E19" i="8" s="1"/>
  <c r="E17" i="3"/>
  <c r="G22" i="20"/>
  <c r="D14" i="3"/>
  <c r="E12" i="3"/>
  <c r="I23" i="21"/>
  <c r="E10" i="3"/>
  <c r="E8" i="3"/>
  <c r="D20" i="3"/>
  <c r="C43" i="2"/>
  <c r="B20" i="2"/>
  <c r="B19" i="2"/>
  <c r="B18" i="2"/>
  <c r="G21" i="17" l="1"/>
  <c r="D45" i="4"/>
  <c r="D54" i="4" s="1"/>
  <c r="V21" i="14"/>
  <c r="D56" i="4"/>
  <c r="D63" i="4" s="1"/>
  <c r="D65" i="4" s="1"/>
  <c r="D67" i="4" s="1"/>
  <c r="C7" i="9"/>
  <c r="C11" i="9" s="1"/>
  <c r="H21" i="16"/>
  <c r="E21" i="16"/>
  <c r="H23" i="16"/>
  <c r="I21" i="17"/>
  <c r="D19" i="23"/>
  <c r="C45" i="12"/>
  <c r="E54" i="4"/>
  <c r="K16" i="16"/>
  <c r="C33" i="27"/>
  <c r="C33" i="19"/>
  <c r="F33" i="19"/>
  <c r="E38" i="12"/>
  <c r="C12" i="12"/>
  <c r="C13" i="8"/>
  <c r="C34" i="2"/>
  <c r="C29" i="12"/>
  <c r="C5" i="6"/>
  <c r="F5" i="6"/>
  <c r="E5" i="6"/>
  <c r="D5" i="6"/>
  <c r="C27" i="12"/>
  <c r="C31" i="12"/>
  <c r="D16" i="19"/>
  <c r="F14" i="19"/>
  <c r="C33" i="12"/>
  <c r="E43" i="12"/>
  <c r="S8" i="13"/>
  <c r="E15" i="3"/>
  <c r="E22" i="3"/>
  <c r="E24" i="3"/>
  <c r="E26" i="3"/>
  <c r="E28" i="3"/>
  <c r="E30" i="3"/>
  <c r="C31" i="3"/>
  <c r="E35" i="3"/>
  <c r="E39" i="3"/>
  <c r="C7" i="12"/>
  <c r="E23" i="12"/>
  <c r="S9" i="13"/>
  <c r="H14" i="15"/>
  <c r="K23" i="16"/>
  <c r="K25" i="16" s="1"/>
  <c r="I25" i="16"/>
  <c r="E8" i="17"/>
  <c r="C11" i="19"/>
  <c r="C9" i="8"/>
  <c r="E9" i="8" s="1"/>
  <c r="C22" i="12"/>
  <c r="G10" i="19"/>
  <c r="G13" i="19"/>
  <c r="E7" i="3"/>
  <c r="E9" i="3"/>
  <c r="E11" i="3"/>
  <c r="E13" i="3"/>
  <c r="C14" i="3"/>
  <c r="E16" i="3"/>
  <c r="E19" i="3"/>
  <c r="D31" i="3"/>
  <c r="E36" i="3"/>
  <c r="E53" i="4"/>
  <c r="E20" i="5"/>
  <c r="C19" i="5"/>
  <c r="E19" i="5" s="1"/>
  <c r="D13" i="6"/>
  <c r="C6" i="6"/>
  <c r="C13" i="6" s="1"/>
  <c r="S18" i="13"/>
  <c r="S19" i="13"/>
  <c r="L21" i="17"/>
  <c r="G31" i="19"/>
  <c r="D11" i="21"/>
  <c r="I11" i="21" s="1"/>
  <c r="C22" i="4"/>
  <c r="E9" i="4"/>
  <c r="E45" i="4"/>
  <c r="E8" i="5"/>
  <c r="C6" i="9" s="1"/>
  <c r="C10" i="9" s="1"/>
  <c r="C7" i="5"/>
  <c r="E7" i="5" s="1"/>
  <c r="E25" i="5"/>
  <c r="E13" i="6"/>
  <c r="I22" i="13"/>
  <c r="Q22" i="13"/>
  <c r="E22" i="15"/>
  <c r="C21" i="17"/>
  <c r="D9" i="21"/>
  <c r="I9" i="21" s="1"/>
  <c r="G27" i="19"/>
  <c r="D8" i="21"/>
  <c r="I8" i="21" s="1"/>
  <c r="D10" i="21"/>
  <c r="I10" i="21" s="1"/>
  <c r="H14" i="20"/>
  <c r="S17" i="13"/>
  <c r="H8" i="15"/>
  <c r="H12" i="15"/>
  <c r="G22" i="15"/>
  <c r="H21" i="17"/>
  <c r="G26" i="19"/>
  <c r="C24" i="19"/>
  <c r="S10" i="13"/>
  <c r="H11" i="15"/>
  <c r="M21" i="17"/>
  <c r="N14" i="17"/>
  <c r="G12" i="19"/>
  <c r="H13" i="20"/>
  <c r="D19" i="21"/>
  <c r="I19" i="21" s="1"/>
  <c r="H18" i="20"/>
  <c r="G8" i="25"/>
  <c r="L8" i="25"/>
  <c r="E22" i="20"/>
  <c r="D18" i="21"/>
  <c r="I18" i="21" s="1"/>
  <c r="H14" i="21"/>
  <c r="D11" i="19"/>
  <c r="H8" i="20"/>
  <c r="H15" i="20"/>
  <c r="F22" i="20"/>
  <c r="C34" i="22"/>
  <c r="D8" i="25"/>
  <c r="F21" i="21"/>
  <c r="E22" i="21"/>
  <c r="M18" i="26"/>
  <c r="Q18" i="26"/>
  <c r="I13" i="21"/>
  <c r="C21" i="21"/>
  <c r="E33" i="22"/>
  <c r="C12" i="23"/>
  <c r="E8" i="25"/>
  <c r="E8" i="26" s="1"/>
  <c r="M8" i="25"/>
  <c r="M8" i="26" s="1"/>
  <c r="D17" i="26"/>
  <c r="I18" i="26"/>
  <c r="I16" i="21"/>
  <c r="G22" i="21"/>
  <c r="Q16" i="26"/>
  <c r="E18" i="26"/>
  <c r="C15" i="26"/>
  <c r="F18" i="26"/>
  <c r="J18" i="26"/>
  <c r="N18" i="26"/>
  <c r="S18" i="26"/>
  <c r="D33" i="27"/>
  <c r="C14" i="29"/>
  <c r="K18" i="26"/>
  <c r="O18" i="26"/>
  <c r="I7" i="27"/>
  <c r="I33" i="27" s="1"/>
  <c r="C19" i="29"/>
  <c r="I14" i="29"/>
  <c r="H25" i="16" l="1"/>
  <c r="C42" i="2"/>
  <c r="C44" i="2" s="1"/>
  <c r="D7" i="9"/>
  <c r="I22" i="21"/>
  <c r="I8" i="22"/>
  <c r="D12" i="21"/>
  <c r="I12" i="21" s="1"/>
  <c r="L17" i="26"/>
  <c r="C9" i="26"/>
  <c r="C8" i="25"/>
  <c r="C8" i="26" s="1"/>
  <c r="I33" i="22"/>
  <c r="E34" i="22"/>
  <c r="G11" i="19"/>
  <c r="G24" i="19"/>
  <c r="G35" i="19"/>
  <c r="G33" i="19" s="1"/>
  <c r="D33" i="19"/>
  <c r="C24" i="12"/>
  <c r="C20" i="8"/>
  <c r="E20" i="8" s="1"/>
  <c r="C21" i="20"/>
  <c r="C8" i="8"/>
  <c r="C6" i="12"/>
  <c r="E7" i="17"/>
  <c r="E21" i="17" s="1"/>
  <c r="K8" i="17"/>
  <c r="S22" i="13"/>
  <c r="G15" i="19"/>
  <c r="C14" i="19"/>
  <c r="D14" i="19"/>
  <c r="G16" i="19"/>
  <c r="D18" i="26"/>
  <c r="C10" i="26"/>
  <c r="D16" i="26"/>
  <c r="C17" i="26"/>
  <c r="D7" i="21"/>
  <c r="L8" i="26"/>
  <c r="C31" i="4"/>
  <c r="E22" i="4"/>
  <c r="C17" i="12"/>
  <c r="C17" i="8"/>
  <c r="E17" i="8" s="1"/>
  <c r="C13" i="12"/>
  <c r="C15" i="12" s="1"/>
  <c r="C14" i="8"/>
  <c r="E14" i="8" s="1"/>
  <c r="C33" i="2"/>
  <c r="C41" i="3"/>
  <c r="E31" i="3"/>
  <c r="C28" i="12"/>
  <c r="C20" i="3"/>
  <c r="E14" i="3"/>
  <c r="N16" i="26"/>
  <c r="G18" i="26"/>
  <c r="T20" i="26"/>
  <c r="H22" i="21"/>
  <c r="H21" i="21"/>
  <c r="H22" i="15"/>
  <c r="C8" i="28"/>
  <c r="D27" i="25"/>
  <c r="C39" i="2"/>
  <c r="D41" i="3"/>
  <c r="D17" i="25"/>
  <c r="C10" i="12"/>
  <c r="C12" i="8"/>
  <c r="E12" i="8" s="1"/>
  <c r="C35" i="12"/>
  <c r="C36" i="12" s="1"/>
  <c r="F9" i="19"/>
  <c r="C26" i="12"/>
  <c r="C15" i="8"/>
  <c r="E15" i="8" s="1"/>
  <c r="E13" i="8"/>
  <c r="F16" i="26"/>
  <c r="G34" i="22"/>
  <c r="O33" i="27" s="1"/>
  <c r="T16" i="26"/>
  <c r="L18" i="26"/>
  <c r="G9" i="28"/>
  <c r="D8" i="26"/>
  <c r="G8" i="26"/>
  <c r="C8" i="12"/>
  <c r="C10" i="8"/>
  <c r="E10" i="8" s="1"/>
  <c r="C10" i="10"/>
  <c r="C32" i="12"/>
  <c r="C16" i="12"/>
  <c r="C16" i="8"/>
  <c r="E16" i="8" s="1"/>
  <c r="G37" i="19" l="1"/>
  <c r="C47" i="2" s="1"/>
  <c r="D34" i="22"/>
  <c r="I7" i="22"/>
  <c r="C22" i="20"/>
  <c r="D22" i="20"/>
  <c r="C37" i="12"/>
  <c r="D15" i="25"/>
  <c r="C17" i="25"/>
  <c r="C15" i="25" s="1"/>
  <c r="C27" i="25"/>
  <c r="C22" i="25" s="1"/>
  <c r="D22" i="25"/>
  <c r="C56" i="4"/>
  <c r="E31" i="4"/>
  <c r="C18" i="26"/>
  <c r="G14" i="19"/>
  <c r="E41" i="3"/>
  <c r="G6" i="28"/>
  <c r="N8" i="17"/>
  <c r="N7" i="17" s="1"/>
  <c r="K7" i="17"/>
  <c r="K21" i="17" s="1"/>
  <c r="C21" i="8"/>
  <c r="E8" i="8"/>
  <c r="E21" i="8" s="1"/>
  <c r="F8" i="19"/>
  <c r="E44" i="12"/>
  <c r="C13" i="10"/>
  <c r="C12" i="10" s="1"/>
  <c r="C6" i="10"/>
  <c r="C18" i="19"/>
  <c r="E20" i="3"/>
  <c r="D21" i="21"/>
  <c r="I7" i="21"/>
  <c r="C20" i="26"/>
  <c r="C25" i="12"/>
  <c r="K9" i="28"/>
  <c r="C19" i="26" l="1"/>
  <c r="H21" i="20"/>
  <c r="I21" i="21"/>
  <c r="D11" i="9"/>
  <c r="N21" i="17"/>
  <c r="L16" i="26"/>
  <c r="C35" i="2"/>
  <c r="C40" i="2"/>
  <c r="C28" i="10"/>
  <c r="G9" i="19"/>
  <c r="C8" i="19"/>
  <c r="C5" i="9"/>
  <c r="C8" i="9" s="1"/>
  <c r="C13" i="9" s="1"/>
  <c r="K6" i="28"/>
  <c r="C63" i="4"/>
  <c r="E56" i="4"/>
  <c r="I34" i="22"/>
  <c r="C65" i="4" l="1"/>
  <c r="E63" i="4"/>
  <c r="H22" i="20"/>
  <c r="G8" i="19"/>
  <c r="G21" i="19" s="1"/>
  <c r="C16" i="26"/>
  <c r="G39" i="19" l="1"/>
  <c r="C48" i="2" s="1"/>
  <c r="C46" i="2"/>
  <c r="C67" i="4"/>
  <c r="E67" i="4" s="1"/>
  <c r="E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 authorId="0" shapeId="0" xr:uid="{821CA8AE-06C0-4A06-A5A2-37349C71A3E2}">
      <text>
        <r>
          <rPr>
            <b/>
            <sz val="9"/>
            <color indexed="81"/>
            <rFont val="Tahoma"/>
            <family val="2"/>
          </rPr>
          <t>Author:</t>
        </r>
        <r>
          <rPr>
            <sz val="9"/>
            <color indexed="81"/>
            <rFont val="Tahoma"/>
            <family val="2"/>
          </rPr>
          <t xml:space="preserve">
სებ-ის საკ. ანგ</t>
        </r>
      </text>
    </comment>
    <comment ref="D13" authorId="0" shapeId="0" xr:uid="{D71748DE-42B1-4C4B-A1C5-82DE60296C45}">
      <text>
        <r>
          <rPr>
            <b/>
            <sz val="9"/>
            <color indexed="81"/>
            <rFont val="Tahoma"/>
            <family val="2"/>
          </rPr>
          <t>Author:</t>
        </r>
        <r>
          <rPr>
            <sz val="9"/>
            <color indexed="81"/>
            <rFont val="Tahoma"/>
            <family val="2"/>
          </rPr>
          <t xml:space="preserve">
ვადიანი დეპ კომ. ბანკებში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tc={9A9D9CB7-70A8-4825-976B-47BF2F55A9C7}</author>
    <author>tc={BCEE58E6-852D-4699-9413-F2DAD7D06A15}</author>
  </authors>
  <commentList>
    <comment ref="G21" authorId="0" shapeId="0" xr:uid="{9A9D9CB7-70A8-4825-976B-47BF2F55A9C7}">
      <text>
        <t>[Threaded comment]
Your version of Excel allows you to read this threaded comment; however, any edits to it will get removed if the file is opened in a newer version of Excel. Learn more: https://go.microsoft.com/fwlink/?linkid=870924
Comment:
    ეს არის კოვიდ 19-ის ბალკი და მოითხოვეს ესე ცალკე ჯამის სახით ჩასმა</t>
      </text>
    </comment>
    <comment ref="D23" authorId="1" shapeId="0" xr:uid="{BCEE58E6-852D-4699-9413-F2DAD7D06A15}">
      <text>
        <t>[Threaded comment]
Your version of Excel allows you to read this threaded comment; however, any edits to it will get removed if the file is opened in a newer version of Excel. Learn more: https://go.microsoft.com/fwlink/?linkid=870924
Comment:
    დარიცხული პროცენტი დავამატეთ
Reply:
    მაღლა თუ ძირია მარტო აქ დარიცხულ პროცენტს რატო ვამატებთ? მათ შორისო არის ეს გრაფა და წესით იგივე ინფო უნდა შეგვყავდეს რაც ზემოთ არაა?
Reply:
    ეროვნულმა გაგვასწორებინა წინაზე ტელეფონით. მეილი არ მოუწერიათ</t>
      </text>
    </comment>
  </commentList>
</comments>
</file>

<file path=xl/sharedStrings.xml><?xml version="1.0" encoding="utf-8"?>
<sst xmlns="http://schemas.openxmlformats.org/spreadsheetml/2006/main" count="1182" uniqueCount="767">
  <si>
    <t>პილარ 3-ის კვარტალური ანგარიშგება</t>
  </si>
  <si>
    <t>ბანკის სრული დასახელება</t>
  </si>
  <si>
    <t>სს სილქ როუდ ბანკი</t>
  </si>
  <si>
    <t>ბანკის სამეთვალყურეო საბჭოს თავმჯდომარე</t>
  </si>
  <si>
    <t>ი.მანაგაძე</t>
  </si>
  <si>
    <t>ბანკის გენერალური დირექტორი</t>
  </si>
  <si>
    <t>ა.ლურსმანაშვილი</t>
  </si>
  <si>
    <t>ბანკის ვებ-გვერდი</t>
  </si>
  <si>
    <t>www.silkroadbank.ge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</si>
  <si>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</si>
  <si>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</si>
  <si>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</si>
  <si>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</si>
  <si>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</si>
  <si>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</si>
  <si>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</si>
  <si>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</si>
  <si>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</si>
  <si>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</si>
  <si>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</si>
  <si>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</si>
  <si>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</si>
  <si>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</si>
  <si>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</si>
  <si>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</si>
  <si>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</si>
  <si>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</si>
  <si>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</si>
  <si>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</si>
  <si>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</si>
  <si>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ბანკი:</t>
  </si>
  <si>
    <t>თარიღი:</t>
  </si>
  <si>
    <t>ცხრილი 1</t>
  </si>
  <si>
    <t>N</t>
  </si>
  <si>
    <t>2Q 2022</t>
  </si>
  <si>
    <t>1Q 2022</t>
  </si>
  <si>
    <t>4Q-2021</t>
  </si>
  <si>
    <t>3Q-2021</t>
  </si>
  <si>
    <t>2Q-2020</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</si>
  <si>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</si>
  <si>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</si>
  <si>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</si>
  <si>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</si>
  <si>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</si>
  <si>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</si>
  <si>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</si>
  <si>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რისკის პოზიციები (მოცულობა, ლარი)</t>
  </si>
  <si>
    <t>რისკის მიხედვით შეწონილი რისკის პოზიციები (ბაზელ III-ზე დაფუძნებული ჩარჩოს მიხედვით)</t>
  </si>
  <si>
    <t>კაპიტალის კოეფიციენტები</t>
  </si>
  <si>
    <t xml:space="preserve">ბაზელ III-ზე დაფუძნებული ჩარჩოს მიხედვით </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</si>
  <si>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</si>
  <si>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</si>
  <si>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</si>
  <si>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</si>
  <si>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</si>
  <si>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</si>
  <si>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</si>
  <si>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</si>
  <si>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</si>
  <si>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</si>
  <si>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</si>
  <si>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</si>
  <si>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</si>
  <si>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</si>
  <si>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</si>
  <si>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</si>
  <si>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</si>
  <si>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</si>
  <si>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</si>
  <si>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</si>
  <si>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</si>
  <si>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წმინდა სტაბილური დაფინანსების კოეფიციენტი</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</si>
  <si>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</si>
  <si>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</si>
  <si>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</si>
  <si>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</si>
  <si>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2</t>
  </si>
  <si>
    <t xml:space="preserve"> საბალანსო უწყისი</t>
  </si>
  <si>
    <t>ლარებით</t>
  </si>
  <si>
    <t>საანგარიშგებო პერიოდი</t>
  </si>
  <si>
    <t>წინა წლის შესაბამისი პერიოდი</t>
  </si>
  <si>
    <t>აქტივები</t>
  </si>
  <si>
    <t>ლარი</t>
  </si>
  <si>
    <t>უცხ.ვალუტა</t>
  </si>
  <si>
    <t>სულ</t>
  </si>
  <si>
    <t>ნაღდი ფული</t>
  </si>
  <si>
    <t>ფულადი სახსრები საქართველოს ეროვნულ ბანკში</t>
  </si>
  <si>
    <t>ფულადი სახსრები სხვა ბანკებში</t>
  </si>
  <si>
    <t>ფასიანი ქაღალდები დილინგური ოპერაციებისათვის</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</si>
  <si>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</si>
  <si>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</si>
  <si>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</si>
  <si>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</si>
  <si>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</si>
  <si>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</si>
  <si>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</si>
  <si>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</si>
  <si>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</si>
  <si>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</si>
  <si>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ვალდებულებები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</si>
  <si>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</si>
  <si>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</si>
  <si>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</si>
  <si>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</si>
  <si>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</si>
  <si>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</si>
  <si>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</si>
  <si>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სხვა ვალდებულებები</t>
  </si>
  <si>
    <t>სუბორდინირებული ვალდებულებები</t>
  </si>
  <si>
    <t>მთლიანი ვალდებულებები</t>
  </si>
  <si>
    <t>სააქციო კაპიტალი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</si>
  <si>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</si>
  <si>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</si>
  <si>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</si>
  <si>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</si>
  <si>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</si>
  <si>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</si>
  <si>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აქტივების გადაფასების რეზერვები</t>
  </si>
  <si>
    <t>სულ სააქციო კაპიტალი</t>
  </si>
  <si>
    <t>მთლიანი ვალდებულებები და სააქციო კაპიტალი</t>
  </si>
  <si>
    <t>ცხრილი 3</t>
  </si>
  <si>
    <t>მოგება - ზარალის ანგარიშგება</t>
  </si>
  <si>
    <t>უცხ. ვალუტა</t>
  </si>
  <si>
    <t>საპროცენტო შემოსავლები</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</si>
  <si>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</si>
  <si>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</si>
  <si>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</si>
  <si>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</si>
  <si>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</si>
  <si>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</si>
  <si>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</si>
  <si>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</si>
  <si>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</si>
  <si>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</si>
  <si>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</si>
  <si>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</si>
  <si>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</si>
  <si>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</si>
  <si>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</si>
  <si>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საპროცენტო ხარჯები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</si>
  <si>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</si>
  <si>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</si>
  <si>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</si>
  <si>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</si>
  <si>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</si>
  <si>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</si>
  <si>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</si>
  <si>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</si>
  <si>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</si>
  <si>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წმინდა საკომისიო და სხვა შემოსავლები მომსახურეობის მიხედვით</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</si>
  <si>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</si>
  <si>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</si>
  <si>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</si>
  <si>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</si>
  <si>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</si>
  <si>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</si>
  <si>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</si>
  <si>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</si>
  <si>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</si>
  <si>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</si>
  <si>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</si>
  <si>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</si>
  <si>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</si>
  <si>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</si>
  <si>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</si>
  <si>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ძირითადი საშუალებების საექსპლუატაციო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</si>
  <si>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</si>
  <si>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</si>
  <si>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</si>
  <si>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</si>
  <si>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</si>
  <si>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</si>
  <si>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</si>
  <si>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</si>
  <si>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</si>
  <si>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მოგება გადასახადის გადახდამდე და გაუთვალისწინებელ შემოსავალ–ხარჯებამდე</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</si>
  <si>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</si>
  <si>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</si>
  <si>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</si>
  <si>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</si>
  <si>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ცხრილი 4</t>
  </si>
  <si>
    <t>ბალანსგარეშე ანგარიშგების უწყისი</t>
  </si>
  <si>
    <t>პირობითი და სახელშეკრულებო ვალდებულებები</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</si>
  <si>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</si>
  <si>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</si>
  <si>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</si>
  <si>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</si>
  <si>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</si>
  <si>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</si>
  <si>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</si>
  <si>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</si>
  <si>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</si>
  <si>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</si>
  <si>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</si>
  <si>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</si>
  <si>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</si>
  <si>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</si>
  <si>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</si>
  <si>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</si>
  <si>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</si>
  <si>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</si>
  <si>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</si>
  <si>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</si>
  <si>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</si>
  <si>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</si>
  <si>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</si>
  <si>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</si>
  <si>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</si>
  <si>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</si>
  <si>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</si>
  <si>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</si>
  <si>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</si>
  <si>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</si>
  <si>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</si>
  <si>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</si>
  <si>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</si>
  <si>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</si>
  <si>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</si>
  <si>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</si>
  <si>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</si>
  <si>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</si>
  <si>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</si>
  <si>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</si>
  <si>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</si>
  <si>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</si>
  <si>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</si>
  <si>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</si>
  <si>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</si>
  <si>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</si>
  <si>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</si>
  <si>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</si>
  <si>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</si>
  <si>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</si>
  <si>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</si>
  <si>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ცხრილი 5</t>
  </si>
  <si>
    <t>4Q-2020</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</si>
  <si>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</si>
  <si>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</si>
  <si>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</si>
  <si>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</si>
  <si>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</si>
  <si>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</si>
  <si>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</si>
  <si>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</si>
  <si>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</si>
  <si>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</si>
  <si>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</si>
  <si>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</si>
  <si>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</si>
  <si>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</si>
  <si>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მამუკა შურღაია</t>
  </si>
  <si>
    <t>დევიდ ფრანც ბორგერი, /გერმანია/</t>
  </si>
  <si>
    <t>მზია ქოქუაშვილი</t>
  </si>
  <si>
    <t>დამოუკიდებელი წევრი</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</si>
  <si>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</si>
  <si>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</si>
  <si>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არჩილ ლურსმანაშვილი</t>
  </si>
  <si>
    <t>გენერალური დირექტორი</t>
  </si>
  <si>
    <t>ბექა კვეზერელი</t>
  </si>
  <si>
    <t>ფინანსური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</si>
  <si>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</si>
  <si>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</si>
  <si>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</si>
  <si>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</si>
  <si>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</si>
  <si>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</si>
  <si>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</si>
  <si>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</si>
  <si>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</si>
  <si>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</si>
  <si>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</si>
  <si>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</si>
  <si>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</si>
  <si>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</si>
  <si>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</si>
  <si>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</si>
  <si>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</si>
  <si>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</si>
  <si>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</si>
  <si>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</si>
  <si>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</si>
  <si>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</si>
  <si>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</si>
  <si>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</si>
  <si>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 xml:space="preserve">ფულადი სახსრები სხვა ბანკებში </t>
  </si>
  <si>
    <t xml:space="preserve">წმინდა სესხები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</si>
  <si>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</si>
  <si>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</si>
  <si>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</si>
  <si>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</si>
  <si>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</si>
  <si>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</si>
  <si>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</si>
  <si>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</si>
  <si>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</si>
  <si>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t>
  </si>
  <si>
    <t>სულ საკრედიტო რისკის მიხედვით შეწონვას დაქვემდებარებული რისკის პოზიციები</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</si>
  <si>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</si>
  <si>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</si>
  <si>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</si>
  <si>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</si>
  <si>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</si>
  <si>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</si>
  <si>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</si>
  <si>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</si>
  <si>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</si>
  <si>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</si>
  <si>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</si>
  <si>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</si>
  <si>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</si>
  <si>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</si>
  <si>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</si>
  <si>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</si>
  <si>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</si>
  <si>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</si>
  <si>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</si>
  <si>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</si>
  <si>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</si>
  <si>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</si>
  <si>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</si>
  <si>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</si>
  <si>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</si>
  <si>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</si>
  <si>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</si>
  <si>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</si>
  <si>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</si>
  <si>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</si>
  <si>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</si>
  <si>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</si>
  <si>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</si>
  <si>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</si>
  <si>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</si>
  <si>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</si>
  <si>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</si>
  <si>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</si>
  <si>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</si>
  <si>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</si>
  <si>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</si>
  <si>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</si>
  <si>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</si>
  <si>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</si>
  <si>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</si>
  <si>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</si>
  <si>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</si>
  <si>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</si>
  <si>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</si>
  <si>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</si>
  <si>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</si>
  <si>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</si>
  <si>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</si>
  <si>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</si>
  <si>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</si>
  <si>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</si>
  <si>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</si>
  <si>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</si>
  <si>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</si>
  <si>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</si>
  <si>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</si>
  <si>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</si>
  <si>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</si>
  <si>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</si>
  <si>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</si>
  <si>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</si>
  <si>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</si>
  <si>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</si>
  <si>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</si>
  <si>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</si>
  <si>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</si>
  <si>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</si>
  <si>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</si>
  <si>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ცხრილი 10</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</si>
  <si>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</si>
  <si>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კავშირი Capital-ის ცხრილთან</t>
  </si>
  <si>
    <t>მათ შორის: კორპორატიული სავალო ფასიანი ქაღალდების საერთო რეზერვი</t>
  </si>
  <si>
    <t>ცხრილი 9 (Capital), N39</t>
  </si>
  <si>
    <t>6.2.1</t>
  </si>
  <si>
    <t>მათ შორის სესხების შესაძლო დანაკარგების საერთო რეზერვი</t>
  </si>
  <si>
    <t xml:space="preserve">მათ შორის 10 %-იანი წილობრივი მფლობელობა ფინანსურ  დაწესებულებებში  </t>
  </si>
  <si>
    <t>მათ შორის მნიშვნელოვანი ინვესტიციები, რომლებიც შეზღუდულად აღიარდება</t>
  </si>
  <si>
    <t>მათ შორის 10%-ზე ნაკლები  წილობრივი მფლობელობა, რომელიც შეზღუდულად აღიარდება</t>
  </si>
  <si>
    <t>მათ შორის არამატერიალური აქტივები</t>
  </si>
  <si>
    <t>ცხრილი 9 (Capital), N10</t>
  </si>
  <si>
    <t>მათ შორის გარესაბალანსო ელემენტების საერთო რეზერვი</t>
  </si>
  <si>
    <t>მათ შორის მეორად კაპიტალში ჩასათვლელი ინსტრუმენტები</t>
  </si>
  <si>
    <t>ცხრილი 9 (Capital), N37</t>
  </si>
  <si>
    <t>ცხრილი 9 (Capital), N2</t>
  </si>
  <si>
    <t xml:space="preserve">    მინუს: გამოსყიდული აქციები</t>
  </si>
  <si>
    <t>ცხრილი 9 (Capital), N6</t>
  </si>
  <si>
    <t>ცხრილი 9 (Capital), N5</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</si>
  <si>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</si>
  <si>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</si>
  <si>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</si>
  <si>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</si>
  <si>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</si>
  <si>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</si>
  <si>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</si>
  <si>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</si>
  <si>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</si>
  <si>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</si>
  <si>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</si>
  <si>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</si>
  <si>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</si>
  <si>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</si>
  <si>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</si>
  <si>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</si>
  <si>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</si>
  <si>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</si>
  <si>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</si>
  <si>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</si>
  <si>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</si>
  <si>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</si>
  <si>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</si>
  <si>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</si>
  <si>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</si>
  <si>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</si>
  <si>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</si>
  <si>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</si>
  <si>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</si>
  <si>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</si>
  <si>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</si>
  <si>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</si>
  <si>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</si>
  <si>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</si>
  <si>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</si>
  <si>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</si>
  <si>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</si>
  <si>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</si>
  <si>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</si>
  <si>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</si>
  <si>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</si>
  <si>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</si>
  <si>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</si>
  <si>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</si>
  <si>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</si>
  <si>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</si>
  <si>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</si>
  <si>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</si>
  <si>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</si>
  <si>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</si>
  <si>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</si>
  <si>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</si>
  <si>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</si>
  <si>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</si>
  <si>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</si>
  <si>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</si>
  <si>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</si>
  <si>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</si>
  <si>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</si>
  <si>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</si>
  <si>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</si>
  <si>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</si>
  <si>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</si>
  <si>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</si>
  <si>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</si>
  <si>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</si>
  <si>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</si>
  <si>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 xml:space="preserve">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</si>
  <si>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</si>
  <si>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</si>
  <si>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</si>
  <si>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</si>
  <si>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</si>
  <si>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</si>
  <si>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</si>
  <si>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</si>
  <si>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</si>
  <si>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</si>
  <si>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</si>
  <si>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</si>
  <si>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</si>
  <si>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</si>
  <si>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</si>
  <si>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</si>
  <si>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</si>
  <si>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</si>
  <si>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</si>
  <si>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</si>
  <si>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</si>
  <si>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</si>
  <si>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</si>
  <si>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</si>
  <si>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</si>
  <si>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</si>
  <si>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</si>
  <si>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</si>
  <si>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</si>
  <si>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</si>
  <si>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</si>
  <si>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</si>
  <si>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</si>
  <si>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</si>
  <si>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</si>
  <si>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</si>
  <si>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</si>
  <si>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</si>
  <si>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</si>
  <si>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</si>
  <si>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</si>
  <si>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</si>
  <si>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</si>
  <si>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</si>
  <si>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</si>
  <si>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</si>
  <si>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</si>
  <si>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</si>
  <si>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</si>
  <si>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</si>
  <si>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</si>
  <si>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</si>
  <si>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</si>
  <si>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</si>
  <si>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</si>
  <si>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</si>
  <si>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</si>
  <si>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</si>
  <si>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</si>
  <si>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</si>
  <si>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</si>
  <si>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</si>
  <si>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</si>
  <si>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</si>
  <si>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</si>
  <si>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</si>
  <si>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</si>
  <si>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</si>
  <si>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</si>
  <si>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</si>
  <si>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</si>
  <si>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</si>
  <si>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</si>
  <si>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</si>
  <si>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</si>
  <si>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</si>
  <si>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</si>
  <si>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</si>
  <si>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</si>
  <si>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</si>
  <si>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</si>
  <si>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</si>
  <si>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</si>
  <si>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</si>
  <si>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</si>
  <si>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</si>
  <si>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</si>
  <si>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</si>
  <si>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</si>
  <si>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</si>
  <si>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</si>
  <si>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</si>
  <si>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</si>
  <si>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</si>
  <si>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</si>
  <si>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</si>
  <si>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</si>
  <si>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</si>
  <si>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</si>
  <si>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</si>
  <si>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</si>
  <si>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</si>
  <si>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</si>
  <si>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</si>
  <si>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</si>
  <si>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</si>
  <si>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</si>
  <si>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</si>
  <si>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</si>
  <si>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</si>
  <si>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</si>
  <si>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</si>
  <si>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</si>
  <si>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სხვა ერთეულები:</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</si>
  <si>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</si>
  <si>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</si>
  <si>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</si>
  <si>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</si>
  <si>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</si>
  <si>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</si>
  <si>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</si>
  <si>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</si>
  <si>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</si>
  <si>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</si>
  <si>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</si>
  <si>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</si>
  <si>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</si>
  <si>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</si>
  <si>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</si>
  <si>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</si>
  <si>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</si>
  <si>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</si>
  <si>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</si>
  <si>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</si>
  <si>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</si>
  <si>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</si>
  <si>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</si>
  <si>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</si>
  <si>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</si>
  <si>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</si>
  <si>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</si>
  <si>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</si>
  <si>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</si>
  <si>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</si>
  <si>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</si>
  <si>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</si>
  <si>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</si>
  <si>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</si>
  <si>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</si>
  <si>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</si>
  <si>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</si>
  <si>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</si>
  <si>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</si>
  <si>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</si>
  <si>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</si>
  <si>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</si>
  <si>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</si>
  <si>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</si>
  <si>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</si>
  <si>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</si>
  <si>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</si>
  <si>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</si>
  <si>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</si>
  <si>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</si>
  <si>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</si>
  <si>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</si>
  <si>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</si>
  <si>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</si>
  <si>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</si>
  <si>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</si>
  <si>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</si>
  <si>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</si>
  <si>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</si>
  <si>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</si>
  <si>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</si>
  <si>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</si>
  <si>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</si>
  <si>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</si>
  <si>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</si>
  <si>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</si>
  <si>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</si>
  <si>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</si>
  <si>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</si>
  <si>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</si>
  <si>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</si>
  <si>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</si>
  <si>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</si>
  <si>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</si>
  <si>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</si>
  <si>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</si>
  <si>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</si>
  <si>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</si>
  <si>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</si>
  <si>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</si>
  <si>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</si>
  <si>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</si>
  <si>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</si>
  <si>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</si>
  <si>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</si>
  <si>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სტანდარტული</t>
  </si>
  <si>
    <t>საყურადღებო</t>
  </si>
  <si>
    <t>არასტანდარტული</t>
  </si>
  <si>
    <t>საეჭვო</t>
  </si>
  <si>
    <t>ცხრილი 22</t>
  </si>
  <si>
    <t>უიმედო</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</si>
  <si>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</si>
  <si>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</si>
  <si>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</si>
  <si>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</si>
  <si>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</si>
  <si>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</si>
  <si>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</si>
  <si>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&gt; 30 დღეზე &lt; 60 დღეზე </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</si>
  <si>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</si>
  <si>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</si>
  <si>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</si>
  <si>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</si>
  <si>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</si>
  <si>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</si>
  <si>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</si>
  <si>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</si>
  <si>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</si>
  <si>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</si>
  <si>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</si>
  <si>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</si>
  <si>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</si>
  <si>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</si>
  <si>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</si>
  <si>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</si>
  <si>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</si>
  <si>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</si>
  <si>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</si>
  <si>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</si>
  <si>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</si>
  <si>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</si>
  <si>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</si>
  <si>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</si>
  <si>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</si>
  <si>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</si>
  <si>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</si>
  <si>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</si>
  <si>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</si>
  <si>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</si>
  <si>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</si>
  <si>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</si>
  <si>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</si>
  <si>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</si>
  <si>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</si>
  <si>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</si>
  <si>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</si>
  <si>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</si>
  <si>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</si>
  <si>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</si>
  <si>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</si>
  <si>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</si>
  <si>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</si>
  <si>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</si>
  <si>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</si>
  <si>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</si>
  <si>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</si>
  <si>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</si>
  <si>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</si>
  <si>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</si>
  <si>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</si>
  <si>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 xml:space="preserve">სესხები, რომლებზეც არ არის აღრიცხული დაფარვის წყაროს სექტორი </t>
  </si>
  <si>
    <t>ცხრილი 25</t>
  </si>
  <si>
    <t>ზ</t>
  </si>
  <si>
    <t>თ</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</si>
  <si>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</si>
  <si>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</si>
  <si>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</si>
  <si>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</si>
  <si>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</si>
  <si>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</si>
  <si>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</si>
  <si>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</si>
  <si>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</si>
  <si>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</si>
  <si>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</si>
  <si>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</si>
  <si>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</si>
  <si>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</si>
  <si>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</si>
  <si>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</si>
  <si>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</si>
  <si>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შესაძლო დანაკარგების რეზერვი</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</si>
  <si>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</si>
  <si>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</si>
  <si>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</si>
  <si>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(მთლიანი ღირებულებაზე)</t>
  </si>
  <si>
    <t>სესხების საშუალო შეწონილი ვადიანობა დარჩენილი ვადის მიხედვით (თვეებში)</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</si>
  <si>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</si>
  <si>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</si>
  <si>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</si>
  <si>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</si>
  <si>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</si>
  <si>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</si>
  <si>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</si>
  <si>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</si>
  <si>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</si>
  <si>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</si>
  <si>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</si>
  <si>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</si>
  <si>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</si>
  <si>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</si>
  <si>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არადამოუკიდებელი წევრი</t>
  </si>
  <si>
    <t>კახა ბასიაშვილი</t>
  </si>
  <si>
    <t>რისკების დირექტორი</t>
  </si>
  <si>
    <t>დავით ნიკოლაიშვილი</t>
  </si>
  <si>
    <t>კომერციული დირექტორი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</si>
</sst>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0_ ;[Red]\-#,##0\ "/>
    <numFmt numFmtId="166" formatCode="0.0%"/>
    <numFmt numFmtId="167" formatCode="_(* #,##0_);_(* \(#,##0\);_(* &quot;-&quot;??_);_(@_)"/>
    <numFmt numFmtId="168" formatCode="_(#,##0_);_(\(#,##0\);_(\ \-\ _);_(@_)"/>
    <numFmt numFmtId="169" formatCode="_-* #,##0.00_-;\-* #,##0.00_-;_-* &quot;-&quot;??_-;_-@_-"/>
  </numFmts>
  <fonts count="6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1"/>
      <name val="Sylfaen"/>
      <family val="1"/>
    </font>
    <font>
      <sz val="10"/>
      <color theme="1"/>
      <name val="Sylfaen"/>
      <family val="1"/>
    </font>
    <font>
      <sz val="10"/>
      <name val="Calibri"/>
      <family val="2"/>
      <scheme val="minor"/>
    </font>
    <font>
      <sz val="10"/>
      <name val="Sylfaen"/>
      <family val="1"/>
    </font>
    <font>
      <sz val="11"/>
      <color theme="1"/>
      <name val="Sylfaen"/>
      <family val="1"/>
    </font>
    <font>
      <b/>
      <i/>
      <sz val="10"/>
      <color theme="1"/>
      <name val="Sylfaen"/>
      <family val="1"/>
    </font>
    <font>
      <u/>
      <sz val="10"/>
      <color indexed="12"/>
      <name val="Arial"/>
      <family val="2"/>
    </font>
    <font>
      <sz val="10"/>
      <color theme="1"/>
      <name val="Calibri"/>
      <family val="1"/>
      <scheme val="minor"/>
    </font>
    <font>
      <b/>
      <sz val="10"/>
      <name val="Sylfaen"/>
      <family val="1"/>
    </font>
    <font>
      <b/>
      <sz val="10"/>
      <name val="Calibri"/>
      <family val="2"/>
      <scheme val="minor"/>
    </font>
    <font>
      <b/>
      <sz val="10"/>
      <color theme="1"/>
      <name val="Calibri"/>
      <family val="2"/>
      <scheme val="minor"/>
    </font>
    <font>
      <sz val="10"/>
      <name val="MS Sans Serif"/>
      <family val="2"/>
    </font>
    <font>
      <b/>
      <i/>
      <sz val="10"/>
      <name val="Calibri"/>
      <family val="2"/>
      <scheme val="minor"/>
    </font>
    <font>
      <sz val="10"/>
      <color rgb="FF333333"/>
      <name val="Sylfaen"/>
      <family val="1"/>
    </font>
    <font>
      <sz val="10"/>
      <color rgb="FFFF0000"/>
      <name val="Calibri"/>
      <family val="2"/>
      <scheme val="minor"/>
    </font>
    <font>
      <i/>
      <sz val="10"/>
      <name val="Sylfaen"/>
      <family val="1"/>
    </font>
    <font>
      <b/>
      <sz val="11"/>
      <color rgb="FFFF0000"/>
      <name val="Calibri"/>
      <family val="2"/>
      <scheme val="minor"/>
    </font>
    <font>
      <i/>
      <sz val="10"/>
      <color theme="1"/>
      <name val="Sylfaen"/>
      <family val="1"/>
    </font>
    <font>
      <sz val="8"/>
      <color theme="1"/>
      <name val="Calibri"/>
      <family val="2"/>
      <scheme val="minor"/>
    </font>
    <font>
      <sz val="10"/>
      <name val="Calibri"/>
      <family val="2"/>
      <charset val="204"/>
      <scheme val="minor"/>
    </font>
    <font>
      <b/>
      <sz val="10"/>
      <name val="Calibri"/>
      <family val="2"/>
      <charset val="204"/>
      <scheme val="minor"/>
    </font>
    <font>
      <sz val="10"/>
      <color theme="1"/>
      <name val="Segoe UI"/>
      <family val="2"/>
    </font>
    <font>
      <sz val="10"/>
      <color theme="1"/>
      <name val="Times New Roman"/>
      <family val="1"/>
    </font>
    <font>
      <sz val="10"/>
      <name val="Arial"/>
      <family val="2"/>
      <charset val="204"/>
    </font>
    <font>
      <b/>
      <sz val="8"/>
      <color rgb="FFFF0000"/>
      <name val="Calibri"/>
      <family val="2"/>
      <scheme val="minor"/>
    </font>
    <font>
      <sz val="10"/>
      <name val="Geo_Arial"/>
      <family val="2"/>
    </font>
    <font>
      <sz val="10"/>
      <name val="Calibri"/>
      <family val="1"/>
      <scheme val="minor"/>
    </font>
    <font>
      <i/>
      <sz val="10"/>
      <color theme="1"/>
      <name val="Calibri"/>
      <family val="2"/>
      <scheme val="minor"/>
    </font>
    <font>
      <b/>
      <sz val="10"/>
      <name val="Calibri"/>
      <family val="1"/>
      <scheme val="minor"/>
    </font>
    <font>
      <i/>
      <sz val="11"/>
      <color theme="1"/>
      <name val="Calibri"/>
      <family val="2"/>
      <scheme val="minor"/>
    </font>
    <font>
      <i/>
      <sz val="11"/>
      <color rgb="FFFF0000"/>
      <name val="Calibri"/>
      <family val="2"/>
      <scheme val="minor"/>
    </font>
    <font>
      <sz val="10"/>
      <color rgb="FFFF0000"/>
      <name val="Sylfaen"/>
      <family val="1"/>
    </font>
    <font>
      <b/>
      <sz val="10"/>
      <color theme="1"/>
      <name val="Sylfaen"/>
      <family val="1"/>
    </font>
    <font>
      <i/>
      <sz val="10"/>
      <color rgb="FFFF0000"/>
      <name val="Sylfaen"/>
      <family val="1"/>
    </font>
    <font>
      <sz val="10"/>
      <name val="SPKolheti"/>
      <family val="1"/>
    </font>
    <font>
      <sz val="9"/>
      <color theme="1"/>
      <name val="Calibri"/>
      <family val="2"/>
      <scheme val="minor"/>
    </font>
    <font>
      <i/>
      <sz val="10"/>
      <color rgb="FFFF0000"/>
      <name val="Calibri"/>
      <family val="2"/>
      <scheme val="minor"/>
    </font>
    <font>
      <sz val="8"/>
      <color rgb="FFFF0000"/>
      <name val="Calibri"/>
      <family val="2"/>
      <scheme val="minor"/>
    </font>
    <font>
      <i/>
      <sz val="8"/>
      <color rgb="FFFF0000"/>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8"/>
      <name val="Arial"/>
      <family val="2"/>
    </font>
    <font>
      <b/>
      <sz val="9"/>
      <color indexed="81"/>
      <name val="Tahoma"/>
      <family val="2"/>
    </font>
    <font>
      <sz val="9"/>
      <color indexed="81"/>
      <name val="Tahoma"/>
      <family val="2"/>
    </font>
    <font>
      <sz val="9"/>
      <name val="Sylfaen"/>
      <family val="1"/>
    </font>
    <font>
      <sz val="9"/>
      <color theme="1"/>
      <name val="Sylfaen"/>
      <family val="1"/>
    </font>
    <font>
      <sz val="9"/>
      <color rgb="FFFF0000"/>
      <name val="Sylfaen"/>
      <family val="1"/>
    </font>
    <font>
      <b/>
      <u/>
      <sz val="9"/>
      <name val="Sylfaen"/>
      <family val="1"/>
    </font>
    <font>
      <b/>
      <sz val="9"/>
      <name val="Sylfaen"/>
      <family val="1"/>
    </font>
    <font>
      <b/>
      <sz val="9"/>
      <color theme="1"/>
      <name val="Sylfaen"/>
      <family val="1"/>
    </font>
    <font>
      <sz val="9"/>
      <name val="Calibri"/>
      <family val="1"/>
      <scheme val="minor"/>
    </font>
    <font>
      <b/>
      <sz val="9"/>
      <color rgb="FFFF0000"/>
      <name val="Sylfaen"/>
      <family val="1"/>
    </font>
    <font>
      <i/>
      <sz val="9"/>
      <name val="Calibri"/>
      <family val="1"/>
      <scheme val="minor"/>
    </font>
    <font>
      <b/>
      <sz val="9"/>
      <name val="Calibri"/>
      <family val="1"/>
      <scheme val="minor"/>
    </font>
    <font>
      <b/>
      <u/>
      <sz val="9"/>
      <color theme="1"/>
      <name val="Sylfaen"/>
      <family val="1"/>
    </font>
    <font>
      <sz val="9"/>
      <color theme="1"/>
      <name val="Calibri"/>
      <family val="1"/>
      <scheme val="minor"/>
    </font>
    <font>
      <b/>
      <sz val="9"/>
      <color theme="1"/>
      <name val="Calibri"/>
      <family val="1"/>
      <scheme val="minor"/>
    </font>
    <font>
      <sz val="9"/>
      <color rgb="FF000000"/>
      <name val="Sylfaen"/>
      <family val="1"/>
    </font>
    <font>
      <b/>
      <sz val="9"/>
      <color rgb="FF000000"/>
      <name val="Sylfaen"/>
      <family val="1"/>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lightGray">
        <fgColor indexed="22"/>
      </patternFill>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theme="6" tint="-0.499984740745262"/>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right style="thin">
        <color theme="6" tint="-0.499984740745262"/>
      </right>
      <top/>
      <bottom/>
      <diagonal/>
    </border>
    <border>
      <left style="thin">
        <color theme="6" tint="-0.499984740745262"/>
      </left>
      <right style="thin">
        <color theme="6" tint="-0.499984740745262"/>
      </right>
      <top/>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style="thin">
        <color indexed="64"/>
      </left>
      <right/>
      <top/>
      <bottom style="thin">
        <color indexed="64"/>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xf numFmtId="0" fontId="5" fillId="0" borderId="0"/>
    <xf numFmtId="164" fontId="17" fillId="3" borderId="0"/>
    <xf numFmtId="9" fontId="5" fillId="0" borderId="0" applyFont="0" applyFill="0" applyBorder="0" applyAlignment="0" applyProtection="0"/>
    <xf numFmtId="0" fontId="29" fillId="0" borderId="0"/>
    <xf numFmtId="0" fontId="29"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169" fontId="1" fillId="0" borderId="0" applyFont="0" applyFill="0" applyBorder="0" applyAlignment="0" applyProtection="0"/>
  </cellStyleXfs>
  <cellXfs count="737">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0" xfId="0" applyFont="1" applyAlignment="1">
      <alignment wrapText="1"/>
    </xf>
    <xf numFmtId="0" fontId="8" fillId="2" borderId="1" xfId="4" applyFont="1" applyFill="1" applyBorder="1"/>
    <xf numFmtId="0" fontId="12" fillId="0" borderId="1" xfId="3" applyBorder="1" applyAlignment="1" applyProtection="1"/>
    <xf numFmtId="0" fontId="12" fillId="0" borderId="1" xfId="3"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2" fillId="0" borderId="1" xfId="3" applyBorder="1" applyAlignment="1" applyProtection="1">
      <alignment horizontal="left" vertical="center"/>
    </xf>
    <xf numFmtId="0" fontId="4" fillId="0" borderId="0" xfId="0" applyFont="1"/>
    <xf numFmtId="0" fontId="9" fillId="0" borderId="0" xfId="5" applyFont="1"/>
    <xf numFmtId="43" fontId="8" fillId="0" borderId="0" xfId="1" applyFont="1"/>
    <xf numFmtId="0" fontId="8" fillId="0" borderId="0" xfId="0" applyFont="1"/>
    <xf numFmtId="14" fontId="8" fillId="0" borderId="0" xfId="0" applyNumberFormat="1" applyFont="1" applyAlignment="1">
      <alignment horizontal="left"/>
    </xf>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9" fillId="0" borderId="6" xfId="0" applyFont="1" applyBorder="1" applyAlignment="1">
      <alignment horizontal="right" vertical="center" wrapText="1"/>
    </xf>
    <xf numFmtId="0" fontId="8" fillId="0" borderId="7" xfId="0" applyFont="1" applyBorder="1" applyAlignment="1">
      <alignment vertical="center" wrapText="1"/>
    </xf>
    <xf numFmtId="0" fontId="8" fillId="0" borderId="7" xfId="0" applyFont="1" applyBorder="1" applyAlignment="1">
      <alignment horizontal="left" vertical="center" wrapText="1" indent="1"/>
    </xf>
    <xf numFmtId="0" fontId="4"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 xfId="0" applyFont="1" applyBorder="1" applyAlignment="1">
      <alignment horizontal="center" vertical="center" wrapText="1"/>
    </xf>
    <xf numFmtId="164" fontId="17" fillId="3" borderId="0" xfId="6"/>
    <xf numFmtId="164" fontId="17" fillId="3" borderId="9" xfId="6" applyBorder="1"/>
    <xf numFmtId="0" fontId="18" fillId="0" borderId="1" xfId="0" applyFont="1" applyBorder="1" applyAlignment="1">
      <alignment horizontal="left" vertical="center" wrapText="1"/>
    </xf>
    <xf numFmtId="164" fontId="17" fillId="3" borderId="10" xfId="6" applyBorder="1"/>
    <xf numFmtId="0" fontId="9" fillId="0" borderId="8"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8" fillId="0" borderId="1" xfId="0" applyNumberFormat="1" applyFont="1" applyBorder="1" applyAlignment="1" applyProtection="1">
      <alignment horizontal="right" vertical="center" wrapText="1"/>
      <protection locked="0"/>
    </xf>
    <xf numFmtId="166" fontId="4" fillId="0" borderId="1" xfId="2" applyNumberFormat="1" applyFont="1" applyFill="1" applyBorder="1" applyAlignment="1" applyProtection="1">
      <alignment horizontal="right" vertical="center" wrapText="1"/>
      <protection locked="0"/>
    </xf>
    <xf numFmtId="166" fontId="4" fillId="0" borderId="1" xfId="2" applyNumberFormat="1" applyFont="1" applyBorder="1" applyAlignment="1" applyProtection="1">
      <alignment vertical="center" wrapText="1"/>
      <protection locked="0"/>
    </xf>
    <xf numFmtId="10" fontId="0" fillId="0" borderId="0" xfId="0" applyNumberFormat="1"/>
    <xf numFmtId="166" fontId="9" fillId="4" borderId="1" xfId="2" applyNumberFormat="1" applyFont="1" applyFill="1" applyBorder="1" applyAlignment="1" applyProtection="1">
      <alignment vertical="center"/>
      <protection locked="0"/>
    </xf>
    <xf numFmtId="166" fontId="19" fillId="4" borderId="1" xfId="2" applyNumberFormat="1" applyFont="1" applyFill="1" applyBorder="1" applyAlignment="1" applyProtection="1">
      <alignment vertical="center"/>
      <protection locked="0"/>
    </xf>
    <xf numFmtId="166" fontId="17" fillId="3" borderId="0" xfId="2" applyNumberFormat="1" applyFont="1" applyFill="1" applyBorder="1"/>
    <xf numFmtId="0" fontId="9" fillId="4" borderId="8" xfId="0" applyFont="1" applyFill="1" applyBorder="1" applyAlignment="1">
      <alignment horizontal="right" vertical="center"/>
    </xf>
    <xf numFmtId="0" fontId="9" fillId="4" borderId="1" xfId="0" applyFont="1" applyFill="1" applyBorder="1" applyAlignment="1">
      <alignment vertical="center"/>
    </xf>
    <xf numFmtId="0" fontId="2" fillId="0" borderId="0" xfId="0" applyFont="1"/>
    <xf numFmtId="165" fontId="9" fillId="4" borderId="1" xfId="0" applyNumberFormat="1" applyFont="1" applyFill="1" applyBorder="1" applyAlignment="1" applyProtection="1">
      <alignment vertical="center"/>
      <protection locked="0"/>
    </xf>
    <xf numFmtId="0" fontId="15" fillId="0" borderId="8" xfId="0" applyFont="1" applyBorder="1" applyAlignment="1">
      <alignment horizontal="center" vertical="center" wrapText="1"/>
    </xf>
    <xf numFmtId="164" fontId="17" fillId="3" borderId="11" xfId="6" applyBorder="1"/>
    <xf numFmtId="0" fontId="8" fillId="0" borderId="1" xfId="0" applyFont="1" applyBorder="1" applyAlignment="1">
      <alignment horizontal="left" vertical="center" wrapText="1"/>
    </xf>
    <xf numFmtId="0" fontId="9" fillId="4" borderId="12" xfId="0" applyFont="1" applyFill="1" applyBorder="1" applyAlignment="1">
      <alignment horizontal="right" vertical="center"/>
    </xf>
    <xf numFmtId="0" fontId="9" fillId="4" borderId="8" xfId="0" applyFont="1" applyFill="1" applyBorder="1" applyAlignment="1">
      <alignment horizontal="left" vertical="center"/>
    </xf>
    <xf numFmtId="0" fontId="9" fillId="4" borderId="13" xfId="0" applyFont="1" applyFill="1" applyBorder="1" applyAlignment="1">
      <alignment horizontal="right" vertical="center"/>
    </xf>
    <xf numFmtId="0" fontId="8" fillId="0" borderId="0" xfId="0" applyFont="1" applyAlignment="1">
      <alignment wrapText="1"/>
    </xf>
    <xf numFmtId="10" fontId="20" fillId="0" borderId="0" xfId="0" applyNumberFormat="1" applyFont="1"/>
    <xf numFmtId="165" fontId="9" fillId="5" borderId="1" xfId="0" applyNumberFormat="1" applyFont="1" applyFill="1" applyBorder="1" applyAlignment="1" applyProtection="1">
      <alignment vertical="center"/>
      <protection locked="0"/>
    </xf>
    <xf numFmtId="0" fontId="9" fillId="0" borderId="0" xfId="0" applyFont="1"/>
    <xf numFmtId="43" fontId="4" fillId="0" borderId="0" xfId="0" applyNumberFormat="1" applyFont="1" applyAlignment="1">
      <alignment horizontal="left"/>
    </xf>
    <xf numFmtId="14" fontId="4" fillId="0" borderId="0" xfId="0" applyNumberFormat="1" applyFont="1" applyAlignment="1">
      <alignment horizontal="left"/>
    </xf>
    <xf numFmtId="0" fontId="14" fillId="0" borderId="0" xfId="0" applyFont="1" applyAlignment="1">
      <alignment horizontal="center" vertical="center"/>
    </xf>
    <xf numFmtId="10" fontId="9" fillId="0" borderId="0" xfId="7" applyNumberFormat="1" applyFont="1" applyFill="1" applyBorder="1" applyProtection="1">
      <protection locked="0"/>
    </xf>
    <xf numFmtId="0" fontId="9" fillId="0" borderId="0" xfId="0" applyFont="1" applyProtection="1">
      <protection locked="0"/>
    </xf>
    <xf numFmtId="0" fontId="21" fillId="0" borderId="0" xfId="0" applyFont="1" applyProtection="1">
      <protection locked="0"/>
    </xf>
    <xf numFmtId="0" fontId="14" fillId="0" borderId="6" xfId="0" applyFont="1" applyBorder="1" applyAlignment="1">
      <alignment horizontal="center" vertical="center"/>
    </xf>
    <xf numFmtId="0" fontId="9" fillId="0" borderId="7" xfId="0" applyFont="1" applyBorder="1"/>
    <xf numFmtId="0" fontId="9" fillId="0" borderId="8" xfId="0" applyFont="1" applyBorder="1" applyAlignment="1">
      <alignment horizontal="left" indent="1"/>
    </xf>
    <xf numFmtId="0" fontId="14" fillId="0" borderId="19" xfId="0" applyFont="1" applyBorder="1" applyAlignment="1">
      <alignment horizontal="center"/>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left" indent="1"/>
    </xf>
    <xf numFmtId="165" fontId="9" fillId="0" borderId="1" xfId="1" applyNumberFormat="1" applyFont="1" applyFill="1" applyBorder="1" applyAlignment="1" applyProtection="1">
      <alignment horizontal="right"/>
    </xf>
    <xf numFmtId="165" fontId="9" fillId="6" borderId="1" xfId="1" applyNumberFormat="1" applyFont="1" applyFill="1" applyBorder="1" applyAlignment="1" applyProtection="1">
      <alignment horizontal="right"/>
    </xf>
    <xf numFmtId="167" fontId="0" fillId="0" borderId="0" xfId="1" applyNumberFormat="1" applyFont="1"/>
    <xf numFmtId="167" fontId="22" fillId="0" borderId="0" xfId="0" applyNumberFormat="1" applyFont="1"/>
    <xf numFmtId="0" fontId="9" fillId="0" borderId="19" xfId="0" applyFont="1" applyBorder="1" applyAlignment="1">
      <alignment horizontal="left" indent="2"/>
    </xf>
    <xf numFmtId="0" fontId="14" fillId="0" borderId="19" xfId="0" applyFont="1" applyBorder="1"/>
    <xf numFmtId="165" fontId="9" fillId="0" borderId="1" xfId="1" applyNumberFormat="1" applyFont="1" applyFill="1" applyBorder="1" applyAlignment="1" applyProtection="1">
      <alignment horizontal="right"/>
      <protection locked="0"/>
    </xf>
    <xf numFmtId="0" fontId="9" fillId="0" borderId="13" xfId="0" applyFont="1" applyBorder="1" applyAlignment="1">
      <alignment horizontal="left" indent="1"/>
    </xf>
    <xf numFmtId="0" fontId="14" fillId="0" borderId="21" xfId="0" applyFont="1" applyBorder="1"/>
    <xf numFmtId="165" fontId="9" fillId="6" borderId="14" xfId="1" applyNumberFormat="1" applyFont="1" applyFill="1" applyBorder="1" applyAlignment="1" applyProtection="1">
      <alignment horizontal="right"/>
    </xf>
    <xf numFmtId="165" fontId="4" fillId="0" borderId="0" xfId="0" applyNumberFormat="1" applyFont="1"/>
    <xf numFmtId="0" fontId="23" fillId="0" borderId="0" xfId="0" applyFont="1" applyAlignment="1">
      <alignment vertical="center"/>
    </xf>
    <xf numFmtId="43" fontId="4" fillId="0" borderId="0" xfId="1" applyFont="1"/>
    <xf numFmtId="43" fontId="8" fillId="0" borderId="0" xfId="0" applyNumberFormat="1" applyFont="1" applyAlignment="1">
      <alignment horizontal="left"/>
    </xf>
    <xf numFmtId="0" fontId="24" fillId="0" borderId="0" xfId="0" applyFont="1"/>
    <xf numFmtId="0" fontId="14" fillId="0" borderId="0" xfId="0" applyFont="1" applyAlignment="1">
      <alignment horizontal="center"/>
    </xf>
    <xf numFmtId="0" fontId="21" fillId="0" borderId="0" xfId="0" applyFont="1"/>
    <xf numFmtId="0" fontId="25" fillId="0" borderId="6" xfId="0" applyFont="1" applyBorder="1" applyAlignment="1">
      <alignment horizontal="left" vertical="center" indent="1"/>
    </xf>
    <xf numFmtId="0" fontId="25" fillId="0" borderId="7" xfId="0" applyFont="1" applyBorder="1" applyAlignment="1">
      <alignment horizontal="left" vertical="center"/>
    </xf>
    <xf numFmtId="0" fontId="25" fillId="0" borderId="8" xfId="0" applyFont="1" applyBorder="1" applyAlignment="1">
      <alignment horizontal="left" vertical="center" indent="1"/>
    </xf>
    <xf numFmtId="0" fontId="25" fillId="0" borderId="1" xfId="0" applyFont="1" applyBorder="1" applyAlignment="1">
      <alignment horizontal="left" vertical="center"/>
    </xf>
    <xf numFmtId="0" fontId="25"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8" xfId="0" applyFont="1" applyBorder="1" applyAlignment="1">
      <alignment horizontal="left" indent="1"/>
    </xf>
    <xf numFmtId="0" fontId="26" fillId="0" borderId="1" xfId="0" applyFont="1" applyBorder="1" applyAlignment="1">
      <alignment horizontal="center"/>
    </xf>
    <xf numFmtId="38" fontId="25" fillId="0" borderId="1" xfId="0" applyNumberFormat="1" applyFont="1" applyBorder="1" applyAlignment="1" applyProtection="1">
      <alignment horizontal="right"/>
      <protection locked="0"/>
    </xf>
    <xf numFmtId="38" fontId="25" fillId="0" borderId="20" xfId="0" applyNumberFormat="1" applyFont="1" applyBorder="1" applyAlignment="1" applyProtection="1">
      <alignment horizontal="right"/>
      <protection locked="0"/>
    </xf>
    <xf numFmtId="0" fontId="25" fillId="0" borderId="1" xfId="0" applyFont="1" applyBorder="1" applyAlignment="1">
      <alignment horizontal="left" wrapText="1" indent="1"/>
    </xf>
    <xf numFmtId="165" fontId="25" fillId="0" borderId="1" xfId="0" applyNumberFormat="1" applyFont="1" applyBorder="1" applyAlignment="1" applyProtection="1">
      <alignment horizontal="right"/>
      <protection locked="0"/>
    </xf>
    <xf numFmtId="165" fontId="25" fillId="6" borderId="1" xfId="0" applyNumberFormat="1" applyFont="1" applyFill="1" applyBorder="1" applyAlignment="1">
      <alignment horizontal="right"/>
    </xf>
    <xf numFmtId="0" fontId="25" fillId="0" borderId="1" xfId="0" applyFont="1" applyBorder="1" applyAlignment="1">
      <alignment horizontal="left" wrapText="1" indent="2"/>
    </xf>
    <xf numFmtId="0" fontId="26" fillId="0" borderId="1" xfId="0" applyFont="1" applyBorder="1"/>
    <xf numFmtId="0" fontId="26" fillId="0" borderId="1" xfId="0" applyFont="1" applyBorder="1" applyAlignment="1">
      <alignment horizontal="left"/>
    </xf>
    <xf numFmtId="165" fontId="26" fillId="0" borderId="1" xfId="0" applyNumberFormat="1" applyFont="1" applyBorder="1" applyAlignment="1">
      <alignment horizontal="center"/>
    </xf>
    <xf numFmtId="0" fontId="25" fillId="0" borderId="1" xfId="0" applyFont="1" applyBorder="1" applyAlignment="1">
      <alignment horizontal="left" indent="1"/>
    </xf>
    <xf numFmtId="165" fontId="25" fillId="0" borderId="1" xfId="0" applyNumberFormat="1" applyFont="1" applyBorder="1" applyAlignment="1" applyProtection="1">
      <alignment horizontal="left" indent="1"/>
      <protection locked="0"/>
    </xf>
    <xf numFmtId="165" fontId="9" fillId="6" borderId="1" xfId="1" applyNumberFormat="1" applyFont="1" applyFill="1" applyBorder="1" applyAlignment="1" applyProtection="1"/>
    <xf numFmtId="0" fontId="0" fillId="0" borderId="0" xfId="0" applyAlignment="1">
      <alignment horizontal="left" indent="1"/>
    </xf>
    <xf numFmtId="0" fontId="24" fillId="0" borderId="0" xfId="0" applyFont="1" applyAlignment="1">
      <alignment horizontal="left" indent="1"/>
    </xf>
    <xf numFmtId="0" fontId="26" fillId="0" borderId="1" xfId="0" applyFont="1" applyBorder="1" applyAlignment="1">
      <alignment horizontal="left" indent="1"/>
    </xf>
    <xf numFmtId="0" fontId="26" fillId="0" borderId="1" xfId="0" applyFont="1" applyBorder="1" applyAlignment="1">
      <alignment horizontal="center" vertical="center" wrapText="1"/>
    </xf>
    <xf numFmtId="165" fontId="25" fillId="0" borderId="1" xfId="0" applyNumberFormat="1" applyFont="1" applyBorder="1" applyAlignment="1" applyProtection="1">
      <alignment horizontal="right" vertical="center"/>
      <protection locked="0"/>
    </xf>
    <xf numFmtId="0" fontId="25" fillId="0" borderId="13" xfId="0" applyFont="1" applyBorder="1" applyAlignment="1">
      <alignment horizontal="left" vertical="center" indent="1"/>
    </xf>
    <xf numFmtId="0" fontId="26" fillId="0" borderId="14" xfId="0" applyFont="1" applyBorder="1"/>
    <xf numFmtId="165" fontId="25" fillId="6" borderId="14" xfId="0" applyNumberFormat="1" applyFont="1" applyFill="1" applyBorder="1" applyAlignment="1">
      <alignment horizontal="right"/>
    </xf>
    <xf numFmtId="43" fontId="0" fillId="0" borderId="0" xfId="0" applyNumberFormat="1"/>
    <xf numFmtId="14" fontId="0" fillId="0" borderId="0" xfId="0" applyNumberFormat="1" applyAlignment="1">
      <alignment horizontal="left"/>
    </xf>
    <xf numFmtId="0" fontId="9" fillId="0" borderId="0" xfId="0" applyFont="1" applyAlignment="1">
      <alignment horizontal="center"/>
    </xf>
    <xf numFmtId="0" fontId="21" fillId="0" borderId="0" xfId="0" applyFont="1" applyAlignment="1">
      <alignment horizontal="center"/>
    </xf>
    <xf numFmtId="0" fontId="4" fillId="0" borderId="8" xfId="0" applyFont="1" applyBorder="1" applyAlignment="1">
      <alignment horizontal="center" vertical="center"/>
    </xf>
    <xf numFmtId="0" fontId="15" fillId="0" borderId="11" xfId="0" applyFont="1" applyBorder="1" applyAlignment="1">
      <alignment vertical="center" wrapText="1"/>
    </xf>
    <xf numFmtId="165" fontId="14" fillId="0" borderId="1" xfId="0" applyNumberFormat="1" applyFont="1" applyBorder="1" applyAlignment="1">
      <alignment horizontal="right"/>
    </xf>
    <xf numFmtId="165" fontId="9" fillId="6" borderId="1" xfId="0" applyNumberFormat="1" applyFont="1" applyFill="1" applyBorder="1" applyAlignment="1">
      <alignment horizontal="right"/>
    </xf>
    <xf numFmtId="0" fontId="8" fillId="0" borderId="11" xfId="0" applyFont="1" applyBorder="1" applyAlignment="1">
      <alignment horizontal="left" vertical="center" wrapText="1"/>
    </xf>
    <xf numFmtId="165" fontId="9" fillId="0" borderId="1" xfId="0" applyNumberFormat="1" applyFont="1" applyBorder="1" applyAlignment="1">
      <alignment horizontal="right"/>
    </xf>
    <xf numFmtId="0" fontId="21" fillId="0" borderId="11" xfId="0" applyFont="1" applyBorder="1" applyAlignment="1" applyProtection="1">
      <alignment horizontal="left" vertical="center" indent="1"/>
      <protection locked="0"/>
    </xf>
    <xf numFmtId="0" fontId="21" fillId="0" borderId="11" xfId="0" applyFont="1" applyBorder="1" applyAlignment="1" applyProtection="1">
      <alignment horizontal="left" vertical="center"/>
      <protection locked="0"/>
    </xf>
    <xf numFmtId="1" fontId="0" fillId="0" borderId="0" xfId="0" applyNumberFormat="1"/>
    <xf numFmtId="0" fontId="4" fillId="0" borderId="13" xfId="0" applyFont="1" applyBorder="1" applyAlignment="1">
      <alignment horizontal="center" vertical="center"/>
    </xf>
    <xf numFmtId="0" fontId="15" fillId="0" borderId="27" xfId="0" applyFont="1" applyBorder="1" applyAlignment="1">
      <alignment vertical="center" wrapText="1"/>
    </xf>
    <xf numFmtId="165" fontId="9" fillId="0" borderId="14" xfId="0" applyNumberFormat="1" applyFont="1" applyBorder="1" applyAlignment="1">
      <alignment horizontal="right"/>
    </xf>
    <xf numFmtId="165" fontId="9" fillId="6" borderId="14" xfId="0" applyNumberFormat="1" applyFont="1" applyFill="1" applyBorder="1" applyAlignment="1">
      <alignment horizontal="right"/>
    </xf>
    <xf numFmtId="43" fontId="8" fillId="0" borderId="0" xfId="0" applyNumberFormat="1" applyFont="1"/>
    <xf numFmtId="0" fontId="4" fillId="0" borderId="5" xfId="0" applyFont="1" applyBorder="1"/>
    <xf numFmtId="0" fontId="16" fillId="0" borderId="5" xfId="0" applyFont="1" applyBorder="1" applyAlignment="1">
      <alignment horizontal="center"/>
    </xf>
    <xf numFmtId="0" fontId="4" fillId="0" borderId="25" xfId="0" applyFont="1" applyBorder="1" applyAlignment="1">
      <alignment vertical="center" wrapText="1"/>
    </xf>
    <xf numFmtId="0" fontId="16" fillId="0" borderId="26" xfId="0" applyFont="1" applyBorder="1" applyAlignment="1">
      <alignment vertical="center" wrapText="1"/>
    </xf>
    <xf numFmtId="0" fontId="5" fillId="7" borderId="7" xfId="0" applyFont="1" applyFill="1" applyBorder="1" applyAlignment="1">
      <alignment horizontal="left" vertical="center" wrapText="1" indent="1"/>
    </xf>
    <xf numFmtId="0" fontId="27" fillId="0" borderId="8" xfId="0" applyFont="1" applyBorder="1" applyAlignment="1">
      <alignment horizontal="center" vertical="center" wrapText="1"/>
    </xf>
    <xf numFmtId="0" fontId="27" fillId="0" borderId="1" xfId="0" applyFont="1" applyBorder="1" applyAlignment="1">
      <alignment vertical="center" wrapText="1"/>
    </xf>
    <xf numFmtId="3" fontId="28" fillId="6" borderId="1" xfId="0" applyNumberFormat="1" applyFont="1" applyFill="1" applyBorder="1" applyAlignment="1">
      <alignment vertical="center" wrapText="1"/>
    </xf>
    <xf numFmtId="14" fontId="8" fillId="2" borderId="1" xfId="8" quotePrefix="1" applyNumberFormat="1" applyFont="1" applyFill="1" applyBorder="1" applyAlignment="1" applyProtection="1">
      <alignment horizontal="left" vertical="center" wrapText="1" indent="2"/>
      <protection locked="0"/>
    </xf>
    <xf numFmtId="3" fontId="28" fillId="0" borderId="1" xfId="0" applyNumberFormat="1" applyFont="1" applyBorder="1" applyAlignment="1">
      <alignment vertical="center" wrapText="1"/>
    </xf>
    <xf numFmtId="3" fontId="28" fillId="0" borderId="19"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27" fillId="0" borderId="13" xfId="0" applyFont="1" applyBorder="1" applyAlignment="1">
      <alignment horizontal="center" vertical="center" wrapText="1"/>
    </xf>
    <xf numFmtId="0" fontId="27" fillId="0" borderId="14" xfId="0" applyFont="1" applyBorder="1" applyAlignment="1">
      <alignment vertical="center" wrapText="1"/>
    </xf>
    <xf numFmtId="3" fontId="28" fillId="6" borderId="28" xfId="0" applyNumberFormat="1" applyFont="1" applyFill="1" applyBorder="1" applyAlignment="1">
      <alignment vertical="center" wrapText="1"/>
    </xf>
    <xf numFmtId="0" fontId="4" fillId="0" borderId="0" xfId="0" applyFont="1" applyAlignment="1">
      <alignment wrapText="1"/>
    </xf>
    <xf numFmtId="167" fontId="24" fillId="0" borderId="0" xfId="1" applyNumberFormat="1" applyFont="1"/>
    <xf numFmtId="167" fontId="30" fillId="0" borderId="0" xfId="0" applyNumberFormat="1" applyFont="1"/>
    <xf numFmtId="43" fontId="4" fillId="0" borderId="0" xfId="0" applyNumberFormat="1" applyFont="1"/>
    <xf numFmtId="0" fontId="9" fillId="0" borderId="0" xfId="0" applyFont="1" applyAlignment="1">
      <alignment horizontal="left" wrapText="1"/>
    </xf>
    <xf numFmtId="0" fontId="14" fillId="0" borderId="0" xfId="0" applyFont="1" applyAlignment="1">
      <alignment horizontal="center" wrapText="1"/>
    </xf>
    <xf numFmtId="0" fontId="9" fillId="0" borderId="0" xfId="0" applyFont="1" applyAlignment="1">
      <alignment horizontal="right" wrapText="1"/>
    </xf>
    <xf numFmtId="0" fontId="9" fillId="0" borderId="6" xfId="0" applyFont="1" applyBorder="1"/>
    <xf numFmtId="0" fontId="14" fillId="0" borderId="24" xfId="0" applyFont="1" applyBorder="1" applyAlignment="1">
      <alignment horizontal="center"/>
    </xf>
    <xf numFmtId="0" fontId="9" fillId="0" borderId="8" xfId="0" applyFont="1" applyBorder="1" applyAlignment="1">
      <alignment vertical="center"/>
    </xf>
    <xf numFmtId="0" fontId="31" fillId="0" borderId="19" xfId="0" applyFont="1" applyBorder="1" applyAlignment="1">
      <alignment wrapText="1"/>
    </xf>
    <xf numFmtId="0" fontId="4" fillId="0" borderId="20" xfId="0" applyFont="1" applyBorder="1"/>
    <xf numFmtId="0" fontId="14" fillId="0" borderId="20" xfId="0" applyFont="1" applyBorder="1" applyAlignment="1">
      <alignment horizontal="center" vertical="center" wrapText="1"/>
    </xf>
    <xf numFmtId="9" fontId="0" fillId="0" borderId="0" xfId="2" applyFont="1"/>
    <xf numFmtId="0" fontId="14" fillId="0" borderId="19" xfId="0" applyFont="1" applyBorder="1" applyAlignment="1">
      <alignment horizontal="center" vertical="center" wrapText="1"/>
    </xf>
    <xf numFmtId="10" fontId="4" fillId="0" borderId="29" xfId="2" applyNumberFormat="1" applyFont="1" applyBorder="1" applyAlignment="1">
      <alignment horizontal="right"/>
    </xf>
    <xf numFmtId="0" fontId="4" fillId="0" borderId="29" xfId="0" applyFont="1" applyBorder="1"/>
    <xf numFmtId="10" fontId="4" fillId="0" borderId="20" xfId="2" applyNumberFormat="1" applyFont="1" applyBorder="1" applyAlignment="1">
      <alignment horizontal="right"/>
    </xf>
    <xf numFmtId="0" fontId="9" fillId="0" borderId="12" xfId="0" applyFont="1" applyBorder="1" applyAlignment="1">
      <alignment vertical="center"/>
    </xf>
    <xf numFmtId="0" fontId="31" fillId="0" borderId="3" xfId="0" applyFont="1" applyBorder="1" applyAlignment="1">
      <alignment wrapText="1"/>
    </xf>
    <xf numFmtId="10" fontId="4" fillId="0" borderId="30" xfId="2" applyNumberFormat="1" applyFont="1" applyBorder="1" applyAlignment="1">
      <alignment horizontal="right"/>
    </xf>
    <xf numFmtId="0" fontId="9" fillId="0" borderId="12" xfId="0" applyFont="1" applyBorder="1" applyAlignment="1">
      <alignment horizontal="right" vertical="center"/>
    </xf>
    <xf numFmtId="0" fontId="9" fillId="0" borderId="13" xfId="0" applyFont="1" applyBorder="1"/>
    <xf numFmtId="0" fontId="31" fillId="0" borderId="21" xfId="0" applyFont="1" applyBorder="1" applyAlignment="1">
      <alignment wrapText="1"/>
    </xf>
    <xf numFmtId="0" fontId="4" fillId="0" borderId="28" xfId="0" applyFont="1" applyBorder="1"/>
    <xf numFmtId="14" fontId="9" fillId="0" borderId="0" xfId="5" applyNumberFormat="1" applyFont="1" applyAlignment="1">
      <alignment horizontal="left"/>
    </xf>
    <xf numFmtId="0" fontId="9" fillId="0" borderId="5" xfId="5" applyFont="1" applyBorder="1" applyAlignment="1">
      <alignment vertical="center"/>
    </xf>
    <xf numFmtId="0" fontId="21" fillId="0" borderId="0" xfId="5" applyFont="1" applyAlignment="1">
      <alignment horizontal="right"/>
    </xf>
    <xf numFmtId="0" fontId="8" fillId="0" borderId="6" xfId="5" applyFont="1" applyBorder="1" applyAlignment="1">
      <alignment vertical="center"/>
    </xf>
    <xf numFmtId="0" fontId="8" fillId="0" borderId="7" xfId="5" applyFont="1" applyBorder="1" applyAlignment="1">
      <alignment vertical="center"/>
    </xf>
    <xf numFmtId="0" fontId="15" fillId="0" borderId="7" xfId="5" applyFont="1" applyBorder="1" applyAlignment="1">
      <alignment horizontal="center" vertical="center"/>
    </xf>
    <xf numFmtId="0" fontId="15" fillId="0" borderId="24" xfId="5" applyFont="1" applyBorder="1" applyAlignment="1">
      <alignment horizontal="center" vertical="center"/>
    </xf>
    <xf numFmtId="0" fontId="8" fillId="0" borderId="0" xfId="5" applyFont="1" applyAlignment="1">
      <alignment vertical="center"/>
    </xf>
    <xf numFmtId="0" fontId="0" fillId="0" borderId="8" xfId="0" applyBorder="1"/>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8" xfId="0" applyBorder="1" applyAlignment="1">
      <alignment horizontal="center"/>
    </xf>
    <xf numFmtId="0" fontId="4" fillId="0" borderId="11" xfId="0" applyFont="1" applyBorder="1" applyAlignment="1">
      <alignment vertical="center" wrapText="1"/>
    </xf>
    <xf numFmtId="168" fontId="4" fillId="0" borderId="1" xfId="0" applyNumberFormat="1" applyFont="1" applyBorder="1" applyAlignment="1">
      <alignment horizontal="center" vertical="center"/>
    </xf>
    <xf numFmtId="168" fontId="4" fillId="0" borderId="20" xfId="0" applyNumberFormat="1" applyFont="1" applyBorder="1" applyAlignment="1">
      <alignment horizontal="center" vertical="center"/>
    </xf>
    <xf numFmtId="168" fontId="33" fillId="0" borderId="1" xfId="0" applyNumberFormat="1" applyFont="1" applyBorder="1" applyAlignment="1">
      <alignment horizontal="center" vertical="center"/>
    </xf>
    <xf numFmtId="0" fontId="33" fillId="0" borderId="11" xfId="0" applyFont="1" applyBorder="1" applyAlignment="1">
      <alignment vertical="center" wrapText="1"/>
    </xf>
    <xf numFmtId="168" fontId="0" fillId="0" borderId="0" xfId="0" applyNumberFormat="1"/>
    <xf numFmtId="0" fontId="0" fillId="0" borderId="13" xfId="0" applyBorder="1"/>
    <xf numFmtId="0" fontId="16" fillId="6" borderId="27" xfId="0" applyFont="1" applyFill="1" applyBorder="1" applyAlignment="1">
      <alignment vertical="center" wrapText="1"/>
    </xf>
    <xf numFmtId="168" fontId="16" fillId="6" borderId="14" xfId="0" applyNumberFormat="1" applyFont="1" applyFill="1" applyBorder="1" applyAlignment="1">
      <alignment horizontal="center" vertical="center"/>
    </xf>
    <xf numFmtId="168" fontId="16" fillId="6" borderId="28" xfId="0" applyNumberFormat="1" applyFont="1" applyFill="1" applyBorder="1" applyAlignment="1">
      <alignment horizontal="center" vertical="center"/>
    </xf>
    <xf numFmtId="168" fontId="2" fillId="0" borderId="0" xfId="0" applyNumberFormat="1" applyFont="1"/>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6" xfId="0" applyBorder="1" applyAlignment="1">
      <alignment horizontal="center" vertical="center"/>
    </xf>
    <xf numFmtId="0" fontId="16" fillId="6" borderId="16" xfId="0" applyFont="1" applyFill="1" applyBorder="1" applyAlignment="1">
      <alignment wrapText="1"/>
    </xf>
    <xf numFmtId="165" fontId="0" fillId="6" borderId="24" xfId="0" applyNumberFormat="1" applyFill="1" applyBorder="1" applyAlignment="1">
      <alignment horizontal="center" vertical="center"/>
    </xf>
    <xf numFmtId="0" fontId="4" fillId="0" borderId="32" xfId="0" applyFont="1" applyBorder="1"/>
    <xf numFmtId="165" fontId="0" fillId="0" borderId="20" xfId="0" applyNumberFormat="1" applyBorder="1"/>
    <xf numFmtId="0" fontId="4" fillId="0" borderId="8" xfId="0" applyFont="1" applyBorder="1" applyAlignment="1">
      <alignment horizontal="center" vertical="center" wrapText="1"/>
    </xf>
    <xf numFmtId="0" fontId="4" fillId="0" borderId="32" xfId="0" applyFont="1" applyBorder="1" applyAlignment="1">
      <alignment vertical="center" wrapText="1"/>
    </xf>
    <xf numFmtId="165" fontId="0" fillId="0" borderId="20" xfId="0" applyNumberFormat="1" applyBorder="1" applyAlignment="1">
      <alignment wrapText="1"/>
    </xf>
    <xf numFmtId="0" fontId="0" fillId="0" borderId="0" xfId="0" applyAlignment="1">
      <alignment wrapText="1"/>
    </xf>
    <xf numFmtId="0" fontId="16" fillId="6" borderId="32" xfId="0" applyFont="1" applyFill="1" applyBorder="1" applyAlignment="1">
      <alignment wrapText="1"/>
    </xf>
    <xf numFmtId="165" fontId="0" fillId="6" borderId="20" xfId="0" applyNumberFormat="1" applyFill="1" applyBorder="1" applyAlignment="1">
      <alignment horizontal="center" vertical="center" wrapText="1"/>
    </xf>
    <xf numFmtId="0" fontId="4" fillId="0" borderId="32" xfId="0" applyFont="1" applyBorder="1" applyAlignment="1">
      <alignment vertical="center"/>
    </xf>
    <xf numFmtId="3" fontId="0" fillId="0" borderId="0" xfId="0" applyNumberFormat="1" applyAlignment="1">
      <alignment wrapText="1"/>
    </xf>
    <xf numFmtId="0" fontId="4" fillId="0" borderId="32" xfId="0" applyFont="1" applyBorder="1" applyAlignment="1">
      <alignment wrapText="1"/>
    </xf>
    <xf numFmtId="0" fontId="4" fillId="0" borderId="13" xfId="0" applyFont="1" applyBorder="1" applyAlignment="1">
      <alignment horizontal="center" vertical="center" wrapText="1"/>
    </xf>
    <xf numFmtId="0" fontId="16" fillId="6" borderId="33" xfId="0" applyFont="1" applyFill="1" applyBorder="1" applyAlignment="1">
      <alignment wrapText="1"/>
    </xf>
    <xf numFmtId="165" fontId="0" fillId="6" borderId="28" xfId="0" applyNumberFormat="1" applyFill="1" applyBorder="1" applyAlignment="1">
      <alignment horizontal="center" vertical="center" wrapText="1"/>
    </xf>
    <xf numFmtId="0" fontId="20" fillId="0" borderId="0" xfId="0" applyFont="1"/>
    <xf numFmtId="3" fontId="2" fillId="0" borderId="0" xfId="0" applyNumberFormat="1" applyFont="1"/>
    <xf numFmtId="0" fontId="4"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xf>
    <xf numFmtId="0" fontId="8" fillId="0" borderId="6" xfId="9" applyFont="1" applyBorder="1" applyAlignment="1" applyProtection="1">
      <alignment horizontal="center" vertical="center"/>
      <protection locked="0"/>
    </xf>
    <xf numFmtId="0" fontId="15" fillId="2" borderId="23" xfId="9" applyFont="1" applyFill="1" applyBorder="1" applyAlignment="1" applyProtection="1">
      <alignment horizontal="center" vertical="center" wrapText="1"/>
      <protection locked="0"/>
    </xf>
    <xf numFmtId="167" fontId="8" fillId="2" borderId="24" xfId="10" applyNumberFormat="1" applyFont="1" applyFill="1" applyBorder="1" applyAlignment="1" applyProtection="1">
      <alignment horizontal="center" vertical="center"/>
      <protection locked="0"/>
    </xf>
    <xf numFmtId="0" fontId="8" fillId="0" borderId="8" xfId="9" applyFont="1" applyBorder="1" applyAlignment="1" applyProtection="1">
      <alignment horizontal="center" vertical="center"/>
      <protection locked="0"/>
    </xf>
    <xf numFmtId="0" fontId="16" fillId="6" borderId="1" xfId="0" applyFont="1" applyFill="1" applyBorder="1" applyAlignment="1">
      <alignment horizontal="left" vertical="top" wrapText="1"/>
    </xf>
    <xf numFmtId="165" fontId="8" fillId="6" borderId="20" xfId="10" applyNumberFormat="1" applyFont="1" applyFill="1" applyBorder="1" applyAlignment="1" applyProtection="1">
      <alignment vertical="top"/>
    </xf>
    <xf numFmtId="0" fontId="8" fillId="2" borderId="26" xfId="11" applyFont="1" applyFill="1" applyBorder="1" applyAlignment="1" applyProtection="1">
      <alignment vertical="center" wrapText="1"/>
      <protection locked="0"/>
    </xf>
    <xf numFmtId="165" fontId="8" fillId="2" borderId="20"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6" borderId="20" xfId="10" applyNumberFormat="1" applyFont="1" applyFill="1" applyBorder="1" applyAlignment="1" applyProtection="1">
      <alignment vertical="top" wrapText="1"/>
    </xf>
    <xf numFmtId="0" fontId="8" fillId="2" borderId="26" xfId="11" applyFont="1" applyFill="1" applyBorder="1" applyAlignment="1" applyProtection="1">
      <alignment horizontal="left" vertical="center" wrapText="1"/>
      <protection locked="0"/>
    </xf>
    <xf numFmtId="165" fontId="8" fillId="2" borderId="20"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wrapText="1"/>
      <protection locked="0"/>
    </xf>
    <xf numFmtId="1" fontId="15" fillId="6" borderId="1" xfId="10" applyNumberFormat="1" applyFont="1" applyFill="1" applyBorder="1" applyAlignment="1" applyProtection="1">
      <alignment horizontal="left" vertical="top" wrapText="1"/>
    </xf>
    <xf numFmtId="0" fontId="8" fillId="0" borderId="8"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165" fontId="8" fillId="6" borderId="20"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5" fillId="6" borderId="1" xfId="11" applyFont="1" applyFill="1" applyBorder="1" applyAlignment="1" applyProtection="1">
      <alignment vertical="center" wrapText="1"/>
      <protection locked="0"/>
    </xf>
    <xf numFmtId="0" fontId="8" fillId="0" borderId="13" xfId="9" applyFont="1" applyBorder="1" applyAlignment="1" applyProtection="1">
      <alignment horizontal="center" vertical="center" wrapText="1"/>
      <protection locked="0"/>
    </xf>
    <xf numFmtId="0" fontId="15" fillId="6" borderId="14" xfId="11" applyFont="1" applyFill="1" applyBorder="1" applyAlignment="1" applyProtection="1">
      <alignment vertical="center" wrapText="1"/>
      <protection locked="0"/>
    </xf>
    <xf numFmtId="165" fontId="8" fillId="6" borderId="28" xfId="10" applyNumberFormat="1" applyFont="1" applyFill="1" applyBorder="1" applyAlignment="1" applyProtection="1">
      <alignment vertical="top" wrapText="1"/>
    </xf>
    <xf numFmtId="165" fontId="20" fillId="0" borderId="0" xfId="0" applyNumberFormat="1" applyFont="1"/>
    <xf numFmtId="0" fontId="16" fillId="0" borderId="0" xfId="12" applyFont="1" applyAlignment="1" applyProtection="1">
      <alignment horizontal="left" vertical="center"/>
      <protection locked="0"/>
    </xf>
    <xf numFmtId="0" fontId="16" fillId="6" borderId="7"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8"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20" xfId="0" applyFont="1" applyFill="1" applyBorder="1" applyAlignment="1">
      <alignment horizontal="left" vertical="center" wrapText="1"/>
    </xf>
    <xf numFmtId="0" fontId="4" fillId="0" borderId="0" xfId="0" applyFont="1" applyAlignment="1">
      <alignment horizontal="left" vertical="center"/>
    </xf>
    <xf numFmtId="0" fontId="4" fillId="0" borderId="8"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7" fontId="4" fillId="0" borderId="20" xfId="1" applyNumberFormat="1" applyFont="1" applyFill="1" applyBorder="1" applyAlignment="1">
      <alignment horizontal="right" vertical="center" wrapText="1"/>
    </xf>
    <xf numFmtId="10" fontId="16" fillId="6" borderId="1" xfId="0" applyNumberFormat="1" applyFont="1" applyFill="1" applyBorder="1" applyAlignment="1">
      <alignment horizontal="left" vertical="center" wrapText="1"/>
    </xf>
    <xf numFmtId="1" fontId="16" fillId="6" borderId="20" xfId="0" applyNumberFormat="1" applyFont="1" applyFill="1" applyBorder="1" applyAlignment="1">
      <alignment horizontal="right" vertical="center" wrapText="1"/>
    </xf>
    <xf numFmtId="0" fontId="13" fillId="0" borderId="8"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7" fontId="13" fillId="0" borderId="20" xfId="1" applyNumberFormat="1" applyFont="1" applyFill="1" applyBorder="1" applyAlignment="1">
      <alignment horizontal="right" vertical="center" wrapText="1"/>
    </xf>
    <xf numFmtId="0" fontId="13" fillId="0" borderId="0" xfId="0" applyFont="1" applyAlignment="1">
      <alignment horizontal="left" vertical="center"/>
    </xf>
    <xf numFmtId="10" fontId="16" fillId="6" borderId="1" xfId="2" applyNumberFormat="1" applyFont="1" applyFill="1" applyBorder="1" applyAlignment="1">
      <alignment horizontal="left" vertical="center" wrapText="1"/>
    </xf>
    <xf numFmtId="49" fontId="13" fillId="0" borderId="8" xfId="0" applyNumberFormat="1" applyFont="1" applyBorder="1" applyAlignment="1">
      <alignment horizontal="right" vertical="center" wrapText="1"/>
    </xf>
    <xf numFmtId="10" fontId="16" fillId="6" borderId="1" xfId="0" applyNumberFormat="1" applyFont="1" applyFill="1" applyBorder="1" applyAlignment="1">
      <alignment horizontal="center" vertical="center" wrapText="1"/>
    </xf>
    <xf numFmtId="1" fontId="16" fillId="6" borderId="20" xfId="0" applyNumberFormat="1" applyFont="1" applyFill="1" applyBorder="1" applyAlignment="1">
      <alignment horizontal="center" vertical="center" wrapText="1"/>
    </xf>
    <xf numFmtId="0" fontId="16" fillId="0" borderId="8" xfId="0" applyFont="1" applyBorder="1" applyAlignment="1">
      <alignment horizontal="left" vertical="center" wrapText="1"/>
    </xf>
    <xf numFmtId="49" fontId="34" fillId="0" borderId="13" xfId="13" applyNumberFormat="1" applyFont="1" applyBorder="1" applyAlignment="1" applyProtection="1">
      <alignment horizontal="left" vertical="center"/>
      <protection locked="0"/>
    </xf>
    <xf numFmtId="0" fontId="32" fillId="0" borderId="14" xfId="9" applyFont="1" applyBorder="1" applyAlignment="1" applyProtection="1">
      <alignment horizontal="left" vertical="center" wrapText="1"/>
      <protection locked="0"/>
    </xf>
    <xf numFmtId="10" fontId="13" fillId="0" borderId="14" xfId="2" applyNumberFormat="1" applyFont="1" applyFill="1" applyBorder="1" applyAlignment="1">
      <alignment horizontal="left" vertical="center" wrapText="1"/>
    </xf>
    <xf numFmtId="167" fontId="4" fillId="0" borderId="28" xfId="1" applyNumberFormat="1" applyFont="1" applyFill="1" applyBorder="1" applyAlignment="1">
      <alignment horizontal="right" vertical="center" wrapText="1"/>
    </xf>
    <xf numFmtId="0" fontId="8" fillId="0" borderId="0" xfId="0" applyFont="1" applyAlignment="1">
      <alignment horizontal="left"/>
    </xf>
    <xf numFmtId="0" fontId="7" fillId="0" borderId="0" xfId="0" applyFont="1"/>
    <xf numFmtId="0" fontId="14" fillId="0" borderId="0" xfId="5" applyFont="1"/>
    <xf numFmtId="0" fontId="14" fillId="0" borderId="0" xfId="5" applyFont="1" applyAlignment="1">
      <alignment horizontal="center"/>
    </xf>
    <xf numFmtId="0" fontId="21" fillId="0" borderId="0" xfId="0" applyFont="1" applyAlignment="1" applyProtection="1">
      <alignment horizontal="right"/>
      <protection locked="0"/>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8" xfId="0" applyFont="1" applyBorder="1" applyAlignment="1">
      <alignment horizontal="center"/>
    </xf>
    <xf numFmtId="0" fontId="7" fillId="0" borderId="38" xfId="0" applyFont="1" applyBorder="1" applyAlignment="1">
      <alignment wrapText="1"/>
    </xf>
    <xf numFmtId="165" fontId="7" fillId="0" borderId="39" xfId="0" applyNumberFormat="1" applyFont="1" applyBorder="1" applyAlignment="1">
      <alignment vertical="center"/>
    </xf>
    <xf numFmtId="168" fontId="7" fillId="0" borderId="40" xfId="0" applyNumberFormat="1" applyFont="1" applyBorder="1" applyAlignment="1">
      <alignment horizontal="center"/>
    </xf>
    <xf numFmtId="0" fontId="7" fillId="0" borderId="41" xfId="0" applyFont="1" applyBorder="1" applyAlignment="1">
      <alignment wrapText="1"/>
    </xf>
    <xf numFmtId="165" fontId="7" fillId="0" borderId="42" xfId="0" applyNumberFormat="1" applyFont="1" applyBorder="1" applyAlignment="1">
      <alignment vertical="center"/>
    </xf>
    <xf numFmtId="168" fontId="7" fillId="0" borderId="43" xfId="0" applyNumberFormat="1" applyFont="1" applyBorder="1" applyAlignment="1">
      <alignment horizontal="center"/>
    </xf>
    <xf numFmtId="0" fontId="23" fillId="0" borderId="41" xfId="0" applyFont="1" applyBorder="1" applyAlignment="1">
      <alignment horizontal="left" wrapText="1" indent="8"/>
    </xf>
    <xf numFmtId="168" fontId="21" fillId="8" borderId="43" xfId="0" applyNumberFormat="1" applyFont="1" applyFill="1" applyBorder="1" applyAlignment="1">
      <alignment horizontal="center"/>
    </xf>
    <xf numFmtId="165" fontId="23" fillId="0" borderId="42" xfId="0" applyNumberFormat="1" applyFont="1" applyBorder="1" applyAlignment="1">
      <alignment vertical="center"/>
    </xf>
    <xf numFmtId="168" fontId="23" fillId="0" borderId="43" xfId="0" applyNumberFormat="1" applyFont="1" applyBorder="1" applyAlignment="1">
      <alignment horizontal="center"/>
    </xf>
    <xf numFmtId="0" fontId="23" fillId="0" borderId="41" xfId="0" applyFont="1" applyBorder="1" applyAlignment="1">
      <alignment wrapText="1"/>
    </xf>
    <xf numFmtId="0" fontId="23" fillId="0" borderId="41" xfId="0" applyFont="1" applyBorder="1" applyAlignment="1">
      <alignment horizontal="right" wrapText="1"/>
    </xf>
    <xf numFmtId="165" fontId="7" fillId="6" borderId="42" xfId="0" applyNumberFormat="1" applyFont="1" applyFill="1" applyBorder="1" applyAlignment="1">
      <alignment vertical="center"/>
    </xf>
    <xf numFmtId="165" fontId="37" fillId="0" borderId="42" xfId="0" applyNumberFormat="1" applyFont="1" applyBorder="1" applyAlignment="1">
      <alignment vertical="center"/>
    </xf>
    <xf numFmtId="0" fontId="38" fillId="6" borderId="44" xfId="0" applyFont="1" applyFill="1" applyBorder="1" applyAlignment="1">
      <alignment wrapText="1"/>
    </xf>
    <xf numFmtId="165" fontId="38" fillId="6" borderId="45" xfId="0" applyNumberFormat="1" applyFont="1" applyFill="1" applyBorder="1" applyAlignment="1">
      <alignment vertical="center"/>
    </xf>
    <xf numFmtId="168" fontId="38" fillId="6" borderId="46" xfId="0" applyNumberFormat="1" applyFont="1" applyFill="1" applyBorder="1" applyAlignment="1">
      <alignment horizontal="center"/>
    </xf>
    <xf numFmtId="165" fontId="7" fillId="0" borderId="47" xfId="0" applyNumberFormat="1" applyFont="1" applyBorder="1" applyAlignment="1">
      <alignment vertical="center"/>
    </xf>
    <xf numFmtId="168" fontId="7" fillId="0" borderId="48" xfId="0" applyNumberFormat="1" applyFont="1" applyBorder="1" applyAlignment="1">
      <alignment horizontal="center"/>
    </xf>
    <xf numFmtId="0" fontId="23" fillId="0" borderId="49" xfId="0" applyFont="1" applyBorder="1" applyAlignment="1">
      <alignment horizontal="right" wrapText="1"/>
    </xf>
    <xf numFmtId="165" fontId="7" fillId="0" borderId="50" xfId="0" applyNumberFormat="1" applyFont="1" applyBorder="1" applyAlignment="1">
      <alignment vertical="center"/>
    </xf>
    <xf numFmtId="168" fontId="7" fillId="0" borderId="51" xfId="0" applyNumberFormat="1" applyFont="1" applyBorder="1" applyAlignment="1">
      <alignment horizontal="center"/>
    </xf>
    <xf numFmtId="0" fontId="7" fillId="0" borderId="49" xfId="0" applyFont="1" applyBorder="1" applyAlignment="1">
      <alignment wrapText="1"/>
    </xf>
    <xf numFmtId="0" fontId="7" fillId="0" borderId="52" xfId="0" applyFont="1" applyBorder="1" applyAlignment="1">
      <alignment wrapText="1"/>
    </xf>
    <xf numFmtId="165" fontId="7" fillId="0" borderId="53" xfId="0" applyNumberFormat="1" applyFont="1" applyBorder="1" applyAlignment="1">
      <alignment vertical="center"/>
    </xf>
    <xf numFmtId="0" fontId="7" fillId="0" borderId="13" xfId="0" applyFont="1" applyBorder="1" applyAlignment="1">
      <alignment horizontal="center"/>
    </xf>
    <xf numFmtId="0" fontId="38" fillId="6" borderId="54" xfId="0" applyFont="1" applyFill="1" applyBorder="1" applyAlignment="1">
      <alignment wrapText="1"/>
    </xf>
    <xf numFmtId="165" fontId="38" fillId="6" borderId="55" xfId="0" applyNumberFormat="1" applyFont="1" applyFill="1" applyBorder="1" applyAlignment="1">
      <alignment vertical="center"/>
    </xf>
    <xf numFmtId="168" fontId="38" fillId="6" borderId="56" xfId="0" applyNumberFormat="1" applyFont="1" applyFill="1" applyBorder="1" applyAlignment="1">
      <alignment horizontal="center"/>
    </xf>
    <xf numFmtId="165" fontId="7" fillId="0" borderId="0" xfId="0" applyNumberFormat="1" applyFont="1"/>
    <xf numFmtId="0" fontId="39" fillId="0" borderId="0" xfId="0" applyFont="1"/>
    <xf numFmtId="165" fontId="39" fillId="0" borderId="0" xfId="0" applyNumberFormat="1" applyFont="1"/>
    <xf numFmtId="0" fontId="36" fillId="0" borderId="0" xfId="0" applyFont="1"/>
    <xf numFmtId="0" fontId="16" fillId="0" borderId="0" xfId="0" applyFont="1" applyAlignment="1">
      <alignment horizontal="center" wrapText="1"/>
    </xf>
    <xf numFmtId="0" fontId="4" fillId="0" borderId="57" xfId="0" applyFont="1" applyBorder="1"/>
    <xf numFmtId="0" fontId="4" fillId="0" borderId="58" xfId="0" applyFont="1" applyBorder="1"/>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59" xfId="0" applyFont="1" applyBorder="1"/>
    <xf numFmtId="9" fontId="41" fillId="0" borderId="1" xfId="0" applyNumberFormat="1" applyFont="1" applyBorder="1" applyAlignment="1">
      <alignment horizontal="center" vertical="center"/>
    </xf>
    <xf numFmtId="0" fontId="4" fillId="0" borderId="8" xfId="0" applyFont="1" applyBorder="1" applyAlignment="1">
      <alignment vertical="center"/>
    </xf>
    <xf numFmtId="167" fontId="4" fillId="0" borderId="1" xfId="1" applyNumberFormat="1" applyFont="1" applyBorder="1" applyAlignment="1"/>
    <xf numFmtId="167" fontId="4" fillId="0" borderId="19" xfId="1" applyNumberFormat="1" applyFont="1" applyBorder="1" applyAlignment="1"/>
    <xf numFmtId="167" fontId="4" fillId="0" borderId="20" xfId="1" applyNumberFormat="1" applyFont="1" applyBorder="1" applyAlignment="1"/>
    <xf numFmtId="0" fontId="8" fillId="2" borderId="13" xfId="9" applyFont="1" applyFill="1" applyBorder="1" applyAlignment="1" applyProtection="1">
      <alignment horizontal="left" vertical="center"/>
      <protection locked="0"/>
    </xf>
    <xf numFmtId="0" fontId="15" fillId="2" borderId="14" xfId="14" applyFont="1" applyFill="1" applyBorder="1" applyProtection="1">
      <protection locked="0"/>
    </xf>
    <xf numFmtId="167" fontId="4" fillId="6" borderId="28" xfId="1" applyNumberFormat="1" applyFont="1" applyFill="1" applyBorder="1"/>
    <xf numFmtId="0" fontId="42" fillId="0" borderId="0" xfId="0" applyFont="1"/>
    <xf numFmtId="43" fontId="20" fillId="0" borderId="0" xfId="0" applyNumberFormat="1" applyFont="1"/>
    <xf numFmtId="167" fontId="20" fillId="0" borderId="0" xfId="0" applyNumberFormat="1" applyFont="1"/>
    <xf numFmtId="0" fontId="43" fillId="0" borderId="0" xfId="0" applyFont="1"/>
    <xf numFmtId="0" fontId="4" fillId="0" borderId="6" xfId="0" applyFont="1" applyBorder="1"/>
    <xf numFmtId="0" fontId="4" fillId="0" borderId="24" xfId="0" applyFont="1" applyBorder="1"/>
    <xf numFmtId="0" fontId="4" fillId="0" borderId="20" xfId="0" applyFont="1" applyBorder="1" applyAlignment="1">
      <alignment horizontal="center" vertical="center"/>
    </xf>
    <xf numFmtId="167" fontId="8" fillId="2" borderId="8" xfId="15" applyNumberFormat="1" applyFont="1" applyFill="1" applyBorder="1" applyAlignment="1" applyProtection="1">
      <alignment horizontal="center" vertical="center" wrapText="1"/>
      <protection locked="0"/>
    </xf>
    <xf numFmtId="167"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7" fontId="8" fillId="2" borderId="20" xfId="15" applyNumberFormat="1" applyFont="1" applyFill="1" applyBorder="1" applyAlignment="1" applyProtection="1">
      <alignment horizontal="center" vertical="center" wrapText="1"/>
      <protection locked="0"/>
    </xf>
    <xf numFmtId="0" fontId="8" fillId="2" borderId="8" xfId="13" applyFont="1" applyFill="1" applyBorder="1" applyAlignment="1" applyProtection="1">
      <alignment horizontal="right" vertical="center"/>
      <protection locked="0"/>
    </xf>
    <xf numFmtId="0" fontId="8" fillId="2" borderId="20" xfId="11" applyFont="1" applyFill="1" applyBorder="1" applyAlignment="1" applyProtection="1">
      <alignment horizontal="left" vertical="center" wrapText="1"/>
      <protection locked="0"/>
    </xf>
    <xf numFmtId="165" fontId="4" fillId="0" borderId="8" xfId="0" applyNumberFormat="1" applyFont="1" applyBorder="1"/>
    <xf numFmtId="165" fontId="4" fillId="0" borderId="1" xfId="0" applyNumberFormat="1" applyFont="1" applyBorder="1"/>
    <xf numFmtId="165" fontId="4" fillId="6" borderId="63" xfId="0" applyNumberFormat="1" applyFont="1" applyFill="1" applyBorder="1"/>
    <xf numFmtId="0" fontId="15" fillId="2" borderId="28" xfId="14" applyFont="1" applyFill="1" applyBorder="1" applyProtection="1">
      <protection locked="0"/>
    </xf>
    <xf numFmtId="165" fontId="4" fillId="6" borderId="13" xfId="0" applyNumberFormat="1" applyFont="1" applyFill="1" applyBorder="1"/>
    <xf numFmtId="165" fontId="4" fillId="6" borderId="14" xfId="0" applyNumberFormat="1" applyFont="1" applyFill="1" applyBorder="1"/>
    <xf numFmtId="165" fontId="4" fillId="6" borderId="28" xfId="0" applyNumberFormat="1" applyFont="1" applyFill="1" applyBorder="1"/>
    <xf numFmtId="165" fontId="4" fillId="6" borderId="64"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7" xfId="0" applyFont="1" applyBorder="1"/>
    <xf numFmtId="0" fontId="4" fillId="0" borderId="7" xfId="0" applyFont="1" applyBorder="1" applyAlignment="1">
      <alignment wrapText="1"/>
    </xf>
    <xf numFmtId="0" fontId="4" fillId="0" borderId="15" xfId="0" applyFont="1" applyBorder="1" applyAlignment="1">
      <alignment wrapText="1"/>
    </xf>
    <xf numFmtId="0" fontId="4" fillId="0" borderId="24" xfId="0" applyFont="1" applyBorder="1" applyAlignment="1">
      <alignment wrapText="1"/>
    </xf>
    <xf numFmtId="0" fontId="24" fillId="0" borderId="0" xfId="0" applyFont="1" applyAlignment="1">
      <alignment wrapText="1"/>
    </xf>
    <xf numFmtId="0" fontId="4" fillId="0" borderId="26" xfId="0" applyFont="1" applyBorder="1"/>
    <xf numFmtId="0" fontId="4" fillId="0" borderId="1" xfId="0" applyFont="1" applyBorder="1" applyAlignment="1">
      <alignment horizontal="center" vertical="center" wrapText="1"/>
    </xf>
    <xf numFmtId="0" fontId="4" fillId="0" borderId="8" xfId="0" applyFont="1" applyBorder="1"/>
    <xf numFmtId="165" fontId="4" fillId="0" borderId="19" xfId="0" applyNumberFormat="1" applyFont="1" applyBorder="1"/>
    <xf numFmtId="9" fontId="4" fillId="0" borderId="20" xfId="2" applyFont="1" applyBorder="1"/>
    <xf numFmtId="0" fontId="4" fillId="0" borderId="13" xfId="0" applyFont="1" applyBorder="1"/>
    <xf numFmtId="0" fontId="16" fillId="0" borderId="14" xfId="0" applyFont="1" applyBorder="1"/>
    <xf numFmtId="9" fontId="4" fillId="6" borderId="28" xfId="2" applyFont="1" applyFill="1" applyBorder="1"/>
    <xf numFmtId="43" fontId="42" fillId="0" borderId="0" xfId="0" applyNumberFormat="1" applyFont="1"/>
    <xf numFmtId="165" fontId="42" fillId="0" borderId="0" xfId="0" applyNumberFormat="1" applyFont="1"/>
    <xf numFmtId="0" fontId="44" fillId="0" borderId="0" xfId="0" applyFont="1"/>
    <xf numFmtId="0" fontId="33" fillId="2" borderId="66" xfId="0" applyFont="1" applyFill="1" applyBorder="1" applyAlignment="1">
      <alignment horizontal="left"/>
    </xf>
    <xf numFmtId="0" fontId="33" fillId="2" borderId="4" xfId="0" applyFont="1" applyFill="1" applyBorder="1" applyAlignment="1">
      <alignment horizontal="left"/>
    </xf>
    <xf numFmtId="0" fontId="4" fillId="0" borderId="20" xfId="0" applyFont="1" applyBorder="1" applyAlignment="1">
      <alignment horizontal="center" vertical="center" wrapText="1"/>
    </xf>
    <xf numFmtId="0" fontId="16" fillId="2" borderId="35" xfId="0" applyFont="1" applyFill="1" applyBorder="1" applyAlignment="1">
      <alignment vertical="center"/>
    </xf>
    <xf numFmtId="0" fontId="4" fillId="2" borderId="32" xfId="0" applyFont="1" applyFill="1" applyBorder="1" applyAlignment="1">
      <alignment vertical="center"/>
    </xf>
    <xf numFmtId="0" fontId="4" fillId="2" borderId="29" xfId="0" applyFont="1" applyFill="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43" fontId="17" fillId="3" borderId="0" xfId="1" applyFont="1" applyFill="1" applyBorder="1"/>
    <xf numFmtId="43" fontId="4" fillId="0" borderId="67" xfId="1" applyFont="1" applyFill="1" applyBorder="1" applyAlignment="1">
      <alignment vertical="center"/>
    </xf>
    <xf numFmtId="167" fontId="4" fillId="0" borderId="31" xfId="1" applyNumberFormat="1" applyFont="1" applyFill="1" applyBorder="1" applyAlignment="1">
      <alignment vertical="center"/>
    </xf>
    <xf numFmtId="43" fontId="4" fillId="2" borderId="32" xfId="1" applyFont="1" applyFill="1" applyBorder="1" applyAlignment="1">
      <alignment vertical="center"/>
    </xf>
    <xf numFmtId="167" fontId="4" fillId="2" borderId="29" xfId="1" applyNumberFormat="1" applyFont="1" applyFill="1" applyBorder="1" applyAlignment="1">
      <alignment vertical="center"/>
    </xf>
    <xf numFmtId="0" fontId="4" fillId="0" borderId="1" xfId="0" applyFont="1" applyBorder="1" applyAlignment="1">
      <alignment vertical="center"/>
    </xf>
    <xf numFmtId="43" fontId="4" fillId="0" borderId="1" xfId="1" applyFont="1" applyFill="1" applyBorder="1" applyAlignment="1">
      <alignment vertical="center"/>
    </xf>
    <xf numFmtId="43" fontId="4" fillId="0" borderId="19" xfId="1" applyFont="1" applyFill="1" applyBorder="1" applyAlignment="1">
      <alignment vertical="center"/>
    </xf>
    <xf numFmtId="43" fontId="4" fillId="0" borderId="32" xfId="1" applyFont="1" applyFill="1" applyBorder="1" applyAlignment="1">
      <alignment vertical="center"/>
    </xf>
    <xf numFmtId="167" fontId="4" fillId="0" borderId="20" xfId="1" applyNumberFormat="1" applyFont="1" applyFill="1" applyBorder="1" applyAlignment="1">
      <alignment vertical="center"/>
    </xf>
    <xf numFmtId="14" fontId="4" fillId="0" borderId="0" xfId="0" applyNumberFormat="1" applyFont="1"/>
    <xf numFmtId="0" fontId="16" fillId="0" borderId="1" xfId="0" applyFont="1" applyBorder="1" applyAlignment="1">
      <alignment vertical="center"/>
    </xf>
    <xf numFmtId="0" fontId="16" fillId="0" borderId="14" xfId="0" applyFont="1" applyBorder="1" applyAlignment="1">
      <alignment vertical="center"/>
    </xf>
    <xf numFmtId="43" fontId="4" fillId="0" borderId="14" xfId="1" applyFont="1" applyFill="1" applyBorder="1" applyAlignment="1">
      <alignment vertical="center"/>
    </xf>
    <xf numFmtId="43" fontId="4" fillId="0" borderId="21" xfId="1" applyFont="1" applyFill="1" applyBorder="1" applyAlignment="1">
      <alignment vertical="center"/>
    </xf>
    <xf numFmtId="0" fontId="4" fillId="2" borderId="59" xfId="0" applyFont="1" applyFill="1" applyBorder="1" applyAlignment="1">
      <alignment horizontal="center" vertical="center"/>
    </xf>
    <xf numFmtId="0" fontId="4" fillId="2" borderId="0" xfId="0" applyFont="1" applyFill="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164" fontId="17" fillId="3" borderId="58" xfId="6" applyBorder="1"/>
    <xf numFmtId="167" fontId="4" fillId="0" borderId="15" xfId="1" applyNumberFormat="1" applyFont="1" applyFill="1" applyBorder="1" applyAlignment="1">
      <alignment vertical="center"/>
    </xf>
    <xf numFmtId="2" fontId="4" fillId="0" borderId="24" xfId="0" applyNumberFormat="1" applyFont="1" applyBorder="1" applyAlignment="1">
      <alignment vertical="center"/>
    </xf>
    <xf numFmtId="0" fontId="4" fillId="0" borderId="12" xfId="0" applyFont="1" applyBorder="1" applyAlignment="1">
      <alignment horizontal="center" vertical="center"/>
    </xf>
    <xf numFmtId="0" fontId="4" fillId="0" borderId="2" xfId="0" applyFont="1" applyBorder="1" applyAlignment="1">
      <alignment vertical="center"/>
    </xf>
    <xf numFmtId="164" fontId="17" fillId="3" borderId="21" xfId="6" applyBorder="1"/>
    <xf numFmtId="164" fontId="17" fillId="3" borderId="33" xfId="6" applyBorder="1"/>
    <xf numFmtId="164" fontId="17" fillId="3" borderId="27" xfId="6" applyBorder="1"/>
    <xf numFmtId="167" fontId="4" fillId="0" borderId="3" xfId="1" applyNumberFormat="1" applyFont="1" applyFill="1" applyBorder="1" applyAlignment="1">
      <alignment vertical="center"/>
    </xf>
    <xf numFmtId="2" fontId="4" fillId="0" borderId="30" xfId="0" applyNumberFormat="1" applyFont="1" applyBorder="1" applyAlignment="1">
      <alignment vertical="center"/>
    </xf>
    <xf numFmtId="0" fontId="4" fillId="0" borderId="68" xfId="0" applyFont="1" applyBorder="1" applyAlignment="1">
      <alignment horizontal="center" vertical="center"/>
    </xf>
    <xf numFmtId="0" fontId="4" fillId="0" borderId="69" xfId="0" applyFont="1" applyBorder="1" applyAlignment="1">
      <alignment vertical="center"/>
    </xf>
    <xf numFmtId="164" fontId="17" fillId="3" borderId="70" xfId="6" applyBorder="1"/>
    <xf numFmtId="10" fontId="16" fillId="0" borderId="71" xfId="2" applyNumberFormat="1" applyFont="1" applyFill="1" applyBorder="1" applyAlignment="1">
      <alignment vertical="center"/>
    </xf>
    <xf numFmtId="10" fontId="16" fillId="0" borderId="72" xfId="2" applyNumberFormat="1" applyFont="1" applyFill="1" applyBorder="1" applyAlignment="1">
      <alignment vertical="center"/>
    </xf>
    <xf numFmtId="14" fontId="7" fillId="0" borderId="0" xfId="0" applyNumberFormat="1" applyFont="1" applyAlignment="1">
      <alignment horizontal="left"/>
    </xf>
    <xf numFmtId="0" fontId="38" fillId="0" borderId="0" xfId="0" applyFont="1"/>
    <xf numFmtId="0" fontId="4" fillId="0" borderId="57" xfId="0" applyFont="1" applyBorder="1" applyAlignment="1">
      <alignment horizontal="center"/>
    </xf>
    <xf numFmtId="0" fontId="4" fillId="0" borderId="58" xfId="0" applyFont="1" applyBorder="1" applyAlignment="1">
      <alignment horizontal="center"/>
    </xf>
    <xf numFmtId="0" fontId="4" fillId="0" borderId="7" xfId="0" applyFont="1" applyBorder="1" applyAlignment="1">
      <alignment horizontal="center"/>
    </xf>
    <xf numFmtId="0" fontId="4" fillId="0" borderId="24" xfId="0" applyFont="1" applyBorder="1" applyAlignment="1">
      <alignment horizontal="center"/>
    </xf>
    <xf numFmtId="0" fontId="24" fillId="0" borderId="0" xfId="0" applyFont="1" applyAlignment="1">
      <alignment horizontal="center"/>
    </xf>
    <xf numFmtId="0" fontId="9" fillId="2" borderId="8"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20" xfId="11" applyFont="1" applyFill="1" applyBorder="1" applyAlignment="1" applyProtection="1">
      <alignment horizontal="center" vertical="center" wrapText="1"/>
      <protection locked="0"/>
    </xf>
    <xf numFmtId="0" fontId="9" fillId="2" borderId="8"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6" borderId="1" xfId="13" applyNumberFormat="1" applyFont="1" applyFill="1" applyBorder="1" applyProtection="1">
      <protection locked="0"/>
    </xf>
    <xf numFmtId="165" fontId="9" fillId="6" borderId="1" xfId="15" applyNumberFormat="1" applyFont="1" applyFill="1" applyBorder="1" applyProtection="1">
      <protection locked="0"/>
    </xf>
    <xf numFmtId="3" fontId="9" fillId="6" borderId="20"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6"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6" fontId="9" fillId="9"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13" xfId="9" applyFont="1" applyFill="1" applyBorder="1" applyAlignment="1" applyProtection="1">
      <alignment horizontal="right" vertical="center"/>
      <protection locked="0"/>
    </xf>
    <xf numFmtId="0" fontId="14" fillId="2" borderId="14" xfId="14" applyFont="1" applyFill="1" applyBorder="1" applyProtection="1">
      <protection locked="0"/>
    </xf>
    <xf numFmtId="165" fontId="14" fillId="6" borderId="14" xfId="14" applyNumberFormat="1" applyFont="1" applyFill="1" applyBorder="1" applyProtection="1">
      <protection locked="0"/>
    </xf>
    <xf numFmtId="3" fontId="14" fillId="6" borderId="14" xfId="14" applyNumberFormat="1" applyFont="1" applyFill="1" applyBorder="1" applyProtection="1">
      <protection locked="0"/>
    </xf>
    <xf numFmtId="165" fontId="14" fillId="6" borderId="14" xfId="15" applyNumberFormat="1" applyFont="1" applyFill="1" applyBorder="1" applyAlignment="1" applyProtection="1">
      <protection locked="0"/>
    </xf>
    <xf numFmtId="165" fontId="9" fillId="2" borderId="14" xfId="13" applyNumberFormat="1" applyFont="1" applyFill="1" applyBorder="1" applyProtection="1">
      <protection locked="0"/>
    </xf>
    <xf numFmtId="167" fontId="14" fillId="6" borderId="28" xfId="15" applyNumberFormat="1" applyFont="1" applyFill="1" applyBorder="1" applyAlignment="1" applyProtection="1">
      <protection locked="0"/>
    </xf>
    <xf numFmtId="43" fontId="37" fillId="0" borderId="0" xfId="1" applyFont="1"/>
    <xf numFmtId="167" fontId="37" fillId="0" borderId="0" xfId="1" applyNumberFormat="1" applyFont="1"/>
    <xf numFmtId="0" fontId="45" fillId="10" borderId="19" xfId="17" applyFont="1" applyFill="1" applyBorder="1" applyAlignment="1" applyProtection="1">
      <alignment vertical="center" wrapText="1"/>
      <protection locked="0"/>
    </xf>
    <xf numFmtId="0" fontId="46" fillId="10" borderId="11" xfId="17" applyFont="1" applyFill="1" applyBorder="1" applyProtection="1">
      <alignment vertical="center"/>
      <protection locked="0"/>
    </xf>
    <xf numFmtId="0" fontId="47" fillId="11" borderId="2" xfId="17" applyFont="1" applyFill="1" applyBorder="1" applyAlignment="1" applyProtection="1">
      <alignment horizontal="center" vertical="center"/>
      <protection locked="0"/>
    </xf>
    <xf numFmtId="0" fontId="47" fillId="0" borderId="11" xfId="17" applyFont="1" applyBorder="1" applyAlignment="1" applyProtection="1">
      <alignment horizontal="left" vertical="center" wrapText="1"/>
      <protection locked="0"/>
    </xf>
    <xf numFmtId="167" fontId="47" fillId="0" borderId="1" xfId="18" applyNumberFormat="1" applyFont="1" applyFill="1" applyBorder="1" applyAlignment="1" applyProtection="1">
      <alignment horizontal="right" vertical="center"/>
      <protection locked="0"/>
    </xf>
    <xf numFmtId="167" fontId="47" fillId="5" borderId="1" xfId="18" applyNumberFormat="1" applyFont="1" applyFill="1" applyBorder="1" applyAlignment="1" applyProtection="1">
      <alignment horizontal="right" vertical="center"/>
    </xf>
    <xf numFmtId="167" fontId="2" fillId="0" borderId="0" xfId="0" applyNumberFormat="1" applyFont="1"/>
    <xf numFmtId="0" fontId="45"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top" wrapText="1"/>
      <protection locked="0"/>
    </xf>
    <xf numFmtId="0" fontId="45" fillId="10" borderId="19" xfId="17" applyFont="1" applyFill="1" applyBorder="1" applyProtection="1">
      <alignment vertical="center"/>
      <protection locked="0"/>
    </xf>
    <xf numFmtId="167" fontId="46" fillId="10" borderId="11" xfId="18" applyNumberFormat="1" applyFont="1" applyFill="1" applyBorder="1" applyAlignment="1" applyProtection="1">
      <alignment horizontal="right" vertical="center"/>
      <protection locked="0"/>
    </xf>
    <xf numFmtId="0" fontId="48" fillId="11" borderId="2" xfId="17" applyFont="1" applyFill="1" applyBorder="1" applyAlignment="1" applyProtection="1">
      <alignment horizontal="center" vertical="center"/>
      <protection locked="0"/>
    </xf>
    <xf numFmtId="0" fontId="47" fillId="11" borderId="11" xfId="17" applyFont="1" applyFill="1" applyBorder="1" applyAlignment="1" applyProtection="1">
      <alignment vertical="center" wrapText="1"/>
      <protection locked="0"/>
    </xf>
    <xf numFmtId="0" fontId="47" fillId="11" borderId="11" xfId="17" applyFont="1" applyFill="1" applyBorder="1" applyAlignment="1" applyProtection="1">
      <alignment horizontal="left" vertical="center" wrapText="1"/>
      <protection locked="0"/>
    </xf>
    <xf numFmtId="0" fontId="48" fillId="2" borderId="2" xfId="17" applyFont="1" applyFill="1" applyBorder="1" applyAlignment="1" applyProtection="1">
      <alignment horizontal="center" vertical="center"/>
      <protection locked="0"/>
    </xf>
    <xf numFmtId="0" fontId="47" fillId="0" borderId="11" xfId="17" applyFont="1" applyBorder="1" applyAlignment="1" applyProtection="1">
      <alignment vertical="center" wrapText="1"/>
      <protection locked="0"/>
    </xf>
    <xf numFmtId="0" fontId="47" fillId="2" borderId="11" xfId="17" applyFont="1" applyFill="1" applyBorder="1" applyAlignment="1" applyProtection="1">
      <alignment horizontal="left" vertical="center" wrapText="1"/>
      <protection locked="0"/>
    </xf>
    <xf numFmtId="0" fontId="48" fillId="0" borderId="2" xfId="17" applyFont="1" applyBorder="1" applyAlignment="1" applyProtection="1">
      <alignment horizontal="center" vertical="center"/>
      <protection locked="0"/>
    </xf>
    <xf numFmtId="0" fontId="49"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center" wrapText="1"/>
      <protection locked="0"/>
    </xf>
    <xf numFmtId="167" fontId="45" fillId="10" borderId="11" xfId="18" applyNumberFormat="1" applyFont="1" applyFill="1" applyBorder="1" applyAlignment="1" applyProtection="1">
      <alignment horizontal="right" vertical="center"/>
      <protection locked="0"/>
    </xf>
    <xf numFmtId="0" fontId="45" fillId="10" borderId="19" xfId="17" applyFont="1" applyFill="1" applyBorder="1" applyAlignment="1" applyProtection="1">
      <alignment horizontal="center" vertical="center"/>
      <protection locked="0"/>
    </xf>
    <xf numFmtId="167" fontId="47" fillId="2" borderId="1" xfId="18" applyNumberFormat="1" applyFont="1" applyFill="1" applyBorder="1" applyAlignment="1" applyProtection="1">
      <alignment horizontal="right" vertical="center"/>
      <protection locked="0"/>
    </xf>
    <xf numFmtId="0" fontId="46" fillId="10" borderId="19" xfId="17" applyFont="1" applyFill="1" applyBorder="1" applyProtection="1">
      <alignment vertical="center"/>
      <protection locked="0"/>
    </xf>
    <xf numFmtId="10" fontId="47" fillId="5" borderId="1" xfId="2" applyNumberFormat="1" applyFont="1" applyFill="1" applyBorder="1" applyAlignment="1" applyProtection="1">
      <alignment horizontal="right" vertical="center"/>
    </xf>
    <xf numFmtId="0" fontId="48" fillId="11" borderId="1" xfId="17" applyFont="1" applyFill="1" applyBorder="1" applyAlignment="1" applyProtection="1">
      <alignment horizontal="center" vertical="center"/>
      <protection locked="0"/>
    </xf>
    <xf numFmtId="0" fontId="50" fillId="11" borderId="1" xfId="17" applyFont="1" applyFill="1" applyBorder="1" applyAlignment="1" applyProtection="1">
      <alignment horizontal="center" vertical="center"/>
      <protection locked="0"/>
    </xf>
    <xf numFmtId="0" fontId="4" fillId="2" borderId="57" xfId="0" applyFont="1" applyFill="1" applyBorder="1"/>
    <xf numFmtId="0" fontId="4" fillId="2" borderId="73" xfId="0" applyFont="1" applyFill="1" applyBorder="1" applyAlignment="1">
      <alignment wrapText="1"/>
    </xf>
    <xf numFmtId="0" fontId="4" fillId="2" borderId="74" xfId="0" applyFont="1" applyFill="1" applyBorder="1"/>
    <xf numFmtId="0" fontId="16" fillId="2" borderId="10" xfId="0" applyFont="1" applyFill="1" applyBorder="1" applyAlignment="1">
      <alignment horizontal="center" wrapText="1"/>
    </xf>
    <xf numFmtId="0" fontId="4" fillId="0" borderId="1" xfId="0" applyFont="1" applyBorder="1" applyAlignment="1">
      <alignment horizontal="center"/>
    </xf>
    <xf numFmtId="0" fontId="4" fillId="2" borderId="59" xfId="0" applyFont="1" applyFill="1" applyBorder="1"/>
    <xf numFmtId="0" fontId="16" fillId="2" borderId="0" xfId="0" applyFont="1" applyFill="1" applyAlignment="1">
      <alignment horizontal="center" wrapText="1"/>
    </xf>
    <xf numFmtId="0" fontId="4" fillId="2" borderId="0" xfId="0" applyFont="1" applyFill="1" applyAlignment="1">
      <alignment horizontal="center"/>
    </xf>
    <xf numFmtId="0" fontId="4" fillId="2" borderId="75" xfId="0" applyFont="1" applyFill="1" applyBorder="1" applyAlignment="1">
      <alignment horizontal="center" vertical="center" wrapText="1"/>
    </xf>
    <xf numFmtId="167" fontId="4" fillId="0" borderId="1" xfId="1" applyNumberFormat="1" applyFont="1" applyBorder="1"/>
    <xf numFmtId="167" fontId="4" fillId="0" borderId="20" xfId="1" applyNumberFormat="1" applyFont="1" applyBorder="1"/>
    <xf numFmtId="164" fontId="17" fillId="3" borderId="1" xfId="6" applyBorder="1"/>
    <xf numFmtId="167" fontId="4" fillId="0" borderId="1" xfId="1" applyNumberFormat="1" applyFont="1" applyFill="1" applyBorder="1" applyAlignment="1">
      <alignment vertical="center"/>
    </xf>
    <xf numFmtId="167" fontId="4" fillId="0" borderId="1" xfId="1" applyNumberFormat="1" applyFont="1" applyFill="1" applyBorder="1"/>
    <xf numFmtId="0" fontId="4" fillId="0" borderId="1" xfId="0" applyFont="1" applyBorder="1" applyAlignment="1">
      <alignment wrapText="1"/>
    </xf>
    <xf numFmtId="0" fontId="33" fillId="0" borderId="1" xfId="0" applyFont="1" applyBorder="1" applyAlignment="1">
      <alignment horizontal="left" wrapText="1" indent="2"/>
    </xf>
    <xf numFmtId="167" fontId="4" fillId="0" borderId="1" xfId="1" applyNumberFormat="1" applyFont="1" applyBorder="1" applyAlignment="1">
      <alignment vertical="center"/>
    </xf>
    <xf numFmtId="167" fontId="0" fillId="0" borderId="0" xfId="0" applyNumberFormat="1"/>
    <xf numFmtId="0" fontId="16" fillId="0" borderId="8" xfId="0" applyFont="1" applyBorder="1"/>
    <xf numFmtId="0" fontId="16" fillId="0" borderId="1" xfId="0" applyFont="1" applyBorder="1" applyAlignment="1">
      <alignment wrapText="1"/>
    </xf>
    <xf numFmtId="167" fontId="16" fillId="0" borderId="20" xfId="1" applyNumberFormat="1" applyFont="1" applyBorder="1"/>
    <xf numFmtId="0" fontId="3" fillId="2" borderId="59" xfId="0" applyFont="1" applyFill="1" applyBorder="1" applyAlignment="1">
      <alignment horizontal="left"/>
    </xf>
    <xf numFmtId="0" fontId="16" fillId="2" borderId="0" xfId="0" applyFont="1" applyFill="1" applyAlignment="1">
      <alignment horizontal="center"/>
    </xf>
    <xf numFmtId="167" fontId="4" fillId="2" borderId="0" xfId="1" applyNumberFormat="1" applyFont="1" applyFill="1" applyBorder="1"/>
    <xf numFmtId="167" fontId="4" fillId="2" borderId="0" xfId="1" applyNumberFormat="1" applyFont="1" applyFill="1" applyBorder="1" applyAlignment="1">
      <alignment vertical="center"/>
    </xf>
    <xf numFmtId="167" fontId="4" fillId="2" borderId="75" xfId="1" applyNumberFormat="1" applyFont="1" applyFill="1" applyBorder="1"/>
    <xf numFmtId="0" fontId="33"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5" xfId="0" applyFont="1" applyFill="1" applyBorder="1"/>
    <xf numFmtId="0" fontId="16" fillId="0" borderId="13" xfId="0" applyFont="1" applyBorder="1"/>
    <xf numFmtId="0" fontId="16" fillId="0" borderId="14" xfId="0" applyFont="1" applyBorder="1" applyAlignment="1">
      <alignment wrapText="1"/>
    </xf>
    <xf numFmtId="10" fontId="16" fillId="0" borderId="28" xfId="2" applyNumberFormat="1" applyFont="1" applyBorder="1"/>
    <xf numFmtId="0" fontId="53" fillId="0" borderId="0" xfId="5" applyFont="1"/>
    <xf numFmtId="0" fontId="54" fillId="0" borderId="0" xfId="0" applyFont="1"/>
    <xf numFmtId="0" fontId="55" fillId="0" borderId="0" xfId="0" applyFont="1"/>
    <xf numFmtId="0" fontId="56" fillId="0" borderId="0" xfId="5" applyFont="1"/>
    <xf numFmtId="14" fontId="54" fillId="0" borderId="0" xfId="0" applyNumberFormat="1" applyFont="1"/>
    <xf numFmtId="0" fontId="58" fillId="0" borderId="1" xfId="0" applyFont="1" applyBorder="1" applyAlignment="1">
      <alignment horizontal="center" vertical="center" wrapText="1"/>
    </xf>
    <xf numFmtId="49" fontId="59" fillId="2" borderId="1" xfId="13" applyNumberFormat="1" applyFont="1" applyFill="1" applyBorder="1" applyAlignment="1" applyProtection="1">
      <alignment horizontal="right" vertical="center"/>
      <protection locked="0"/>
    </xf>
    <xf numFmtId="0" fontId="59" fillId="2" borderId="1" xfId="11" applyFont="1" applyFill="1" applyBorder="1" applyAlignment="1" applyProtection="1">
      <alignment horizontal="left" vertical="center" wrapText="1"/>
      <protection locked="0"/>
    </xf>
    <xf numFmtId="3" fontId="60" fillId="0" borderId="0" xfId="0" applyNumberFormat="1" applyFont="1"/>
    <xf numFmtId="0" fontId="59" fillId="0" borderId="1" xfId="11" applyFont="1" applyBorder="1" applyAlignment="1" applyProtection="1">
      <alignment horizontal="left" vertical="center" wrapText="1"/>
      <protection locked="0"/>
    </xf>
    <xf numFmtId="167" fontId="54" fillId="0" borderId="0" xfId="0" applyNumberFormat="1" applyFont="1"/>
    <xf numFmtId="43" fontId="54" fillId="0" borderId="0" xfId="0" applyNumberFormat="1" applyFont="1"/>
    <xf numFmtId="49" fontId="59" fillId="0" borderId="1" xfId="13" applyNumberFormat="1" applyFont="1" applyBorder="1" applyAlignment="1" applyProtection="1">
      <alignment horizontal="right" vertical="center"/>
      <protection locked="0"/>
    </xf>
    <xf numFmtId="49" fontId="62" fillId="0" borderId="1" xfId="13" applyNumberFormat="1" applyFont="1" applyBorder="1" applyAlignment="1" applyProtection="1">
      <alignment horizontal="right" vertical="center"/>
      <protection locked="0"/>
    </xf>
    <xf numFmtId="0" fontId="58" fillId="0" borderId="1" xfId="0" applyFont="1" applyBorder="1"/>
    <xf numFmtId="0" fontId="54" fillId="0" borderId="0" xfId="0" applyFont="1" applyAlignment="1">
      <alignment wrapText="1"/>
    </xf>
    <xf numFmtId="0" fontId="54" fillId="0" borderId="1" xfId="0" applyFont="1" applyBorder="1" applyAlignment="1">
      <alignment horizontal="center" vertical="center"/>
    </xf>
    <xf numFmtId="0" fontId="54" fillId="0" borderId="1" xfId="0" applyFont="1" applyBorder="1" applyAlignment="1">
      <alignment horizontal="center" vertical="center" wrapText="1"/>
    </xf>
    <xf numFmtId="49" fontId="59" fillId="2" borderId="1" xfId="13" applyNumberFormat="1" applyFont="1" applyFill="1" applyBorder="1" applyAlignment="1" applyProtection="1">
      <alignment horizontal="right" vertical="center" wrapText="1"/>
      <protection locked="0"/>
    </xf>
    <xf numFmtId="43" fontId="60" fillId="0" borderId="0" xfId="0" applyNumberFormat="1" applyFont="1"/>
    <xf numFmtId="43" fontId="55" fillId="0" borderId="0" xfId="0" applyNumberFormat="1" applyFont="1"/>
    <xf numFmtId="49" fontId="59" fillId="0" borderId="1" xfId="13" applyNumberFormat="1" applyFont="1" applyBorder="1" applyAlignment="1" applyProtection="1">
      <alignment horizontal="right" vertical="center" wrapText="1"/>
      <protection locked="0"/>
    </xf>
    <xf numFmtId="49" fontId="62" fillId="0" borderId="1" xfId="13" applyNumberFormat="1" applyFont="1" applyBorder="1" applyAlignment="1" applyProtection="1">
      <alignment horizontal="right" vertical="center" wrapText="1"/>
      <protection locked="0"/>
    </xf>
    <xf numFmtId="0" fontId="58" fillId="0" borderId="0" xfId="0" applyFont="1"/>
    <xf numFmtId="0" fontId="54" fillId="0" borderId="1" xfId="0" applyFont="1" applyBorder="1" applyAlignment="1">
      <alignment wrapText="1"/>
    </xf>
    <xf numFmtId="0" fontId="54" fillId="0" borderId="1" xfId="0" applyFont="1" applyBorder="1" applyAlignment="1">
      <alignment horizontal="left" indent="8"/>
    </xf>
    <xf numFmtId="14" fontId="54" fillId="0" borderId="0" xfId="0" applyNumberFormat="1" applyFont="1" applyAlignment="1">
      <alignment horizontal="left"/>
    </xf>
    <xf numFmtId="0" fontId="54" fillId="0" borderId="1" xfId="0" applyFont="1" applyBorder="1"/>
    <xf numFmtId="0" fontId="53" fillId="0" borderId="1" xfId="0" applyFont="1" applyBorder="1" applyAlignment="1">
      <alignment horizontal="left" vertical="center" wrapText="1"/>
    </xf>
    <xf numFmtId="0" fontId="54" fillId="0" borderId="0" xfId="0" applyFont="1" applyAlignment="1">
      <alignment horizontal="left"/>
    </xf>
    <xf numFmtId="0" fontId="57" fillId="0" borderId="1" xfId="0" applyFont="1" applyBorder="1" applyAlignment="1">
      <alignment horizontal="left" indent="1"/>
    </xf>
    <xf numFmtId="0" fontId="57" fillId="0" borderId="1" xfId="0" applyFont="1" applyBorder="1" applyAlignment="1">
      <alignment horizontal="left" wrapText="1" indent="1"/>
    </xf>
    <xf numFmtId="0" fontId="53" fillId="0" borderId="1" xfId="0" applyFont="1" applyBorder="1" applyAlignment="1">
      <alignment horizontal="left" indent="1"/>
    </xf>
    <xf numFmtId="43" fontId="54" fillId="0" borderId="1" xfId="1" applyFont="1" applyBorder="1"/>
    <xf numFmtId="0" fontId="53" fillId="0" borderId="1" xfId="0" applyFont="1" applyBorder="1" applyAlignment="1">
      <alignment horizontal="left" wrapText="1" indent="2"/>
    </xf>
    <xf numFmtId="0" fontId="57" fillId="0" borderId="1" xfId="0" applyFont="1" applyBorder="1" applyAlignment="1">
      <alignment horizontal="left" vertical="center" indent="1"/>
    </xf>
    <xf numFmtId="0" fontId="54" fillId="0" borderId="0" xfId="0" applyFont="1" applyAlignment="1">
      <alignment horizontal="center" vertical="center"/>
    </xf>
    <xf numFmtId="0" fontId="54" fillId="0" borderId="0" xfId="0" applyFont="1" applyAlignment="1">
      <alignment horizontal="center" vertical="center" wrapText="1"/>
    </xf>
    <xf numFmtId="0" fontId="54" fillId="0" borderId="26" xfId="0" applyFont="1" applyBorder="1" applyAlignment="1">
      <alignment wrapText="1"/>
    </xf>
    <xf numFmtId="0" fontId="54" fillId="0" borderId="26" xfId="0" applyFont="1" applyBorder="1" applyAlignment="1">
      <alignment horizontal="center" vertical="center" wrapText="1"/>
    </xf>
    <xf numFmtId="49" fontId="54" fillId="0" borderId="1" xfId="0" applyNumberFormat="1" applyFont="1" applyBorder="1" applyAlignment="1">
      <alignment horizontal="center" vertical="center" wrapText="1"/>
    </xf>
    <xf numFmtId="0" fontId="54" fillId="0" borderId="1" xfId="0" applyFont="1" applyBorder="1" applyAlignment="1">
      <alignment horizontal="left" indent="1"/>
    </xf>
    <xf numFmtId="0" fontId="54" fillId="0" borderId="1" xfId="0" applyFont="1" applyBorder="1" applyAlignment="1">
      <alignment horizontal="center"/>
    </xf>
    <xf numFmtId="0" fontId="54" fillId="0" borderId="2" xfId="0" applyFont="1" applyBorder="1" applyAlignment="1">
      <alignment horizontal="center" vertical="center" wrapText="1"/>
    </xf>
    <xf numFmtId="0" fontId="54" fillId="0" borderId="26" xfId="0" applyFont="1" applyBorder="1"/>
    <xf numFmtId="0" fontId="58" fillId="0" borderId="26" xfId="0" applyFont="1" applyBorder="1"/>
    <xf numFmtId="43" fontId="54" fillId="0" borderId="1" xfId="1" applyFont="1" applyBorder="1" applyAlignment="1">
      <alignment horizontal="left" indent="1"/>
    </xf>
    <xf numFmtId="0" fontId="54" fillId="0" borderId="1" xfId="0" applyFont="1" applyBorder="1" applyAlignment="1">
      <alignment horizontal="left" indent="2"/>
    </xf>
    <xf numFmtId="49" fontId="54" fillId="0" borderId="1" xfId="0" applyNumberFormat="1" applyFont="1" applyBorder="1" applyAlignment="1">
      <alignment horizontal="left" indent="3"/>
    </xf>
    <xf numFmtId="49" fontId="54" fillId="0" borderId="1" xfId="0" applyNumberFormat="1" applyFont="1" applyBorder="1" applyAlignment="1">
      <alignment horizontal="left" indent="1"/>
    </xf>
    <xf numFmtId="49" fontId="54" fillId="0" borderId="1" xfId="0" applyNumberFormat="1" applyFont="1" applyBorder="1" applyAlignment="1">
      <alignment horizontal="left" wrapText="1" indent="2"/>
    </xf>
    <xf numFmtId="49" fontId="54" fillId="0" borderId="1" xfId="0" applyNumberFormat="1" applyFont="1" applyBorder="1" applyAlignment="1">
      <alignment horizontal="left" vertical="top" wrapText="1" indent="2"/>
    </xf>
    <xf numFmtId="49" fontId="54" fillId="0" borderId="1" xfId="0" applyNumberFormat="1" applyFont="1" applyBorder="1" applyAlignment="1">
      <alignment horizontal="left" wrapText="1" indent="3"/>
    </xf>
    <xf numFmtId="43" fontId="54" fillId="0" borderId="1" xfId="1" applyFont="1" applyFill="1" applyBorder="1" applyAlignment="1">
      <alignment horizontal="left" indent="1"/>
    </xf>
    <xf numFmtId="0" fontId="54" fillId="0" borderId="1" xfId="0" applyFont="1" applyBorder="1" applyAlignment="1">
      <alignment horizontal="left" wrapText="1" indent="1"/>
    </xf>
    <xf numFmtId="49" fontId="54" fillId="0" borderId="1" xfId="0" applyNumberFormat="1" applyFont="1" applyBorder="1" applyAlignment="1">
      <alignment horizontal="left" wrapText="1" indent="1"/>
    </xf>
    <xf numFmtId="0" fontId="57" fillId="0" borderId="84" xfId="0" applyFont="1" applyBorder="1" applyAlignment="1">
      <alignment horizontal="left" vertical="center" wrapText="1"/>
    </xf>
    <xf numFmtId="0" fontId="57" fillId="0" borderId="1" xfId="0" applyFont="1" applyBorder="1" applyAlignment="1">
      <alignment horizontal="left" vertical="center" wrapText="1"/>
    </xf>
    <xf numFmtId="0" fontId="64" fillId="0" borderId="0" xfId="0" applyFont="1"/>
    <xf numFmtId="0" fontId="64" fillId="0" borderId="0" xfId="0" applyFont="1" applyAlignment="1">
      <alignment horizontal="center" vertical="center"/>
    </xf>
    <xf numFmtId="0" fontId="0" fillId="0" borderId="26" xfId="0" applyBorder="1"/>
    <xf numFmtId="0" fontId="64" fillId="0" borderId="1" xfId="0" applyFont="1" applyBorder="1" applyAlignment="1">
      <alignment horizontal="left" indent="2"/>
    </xf>
    <xf numFmtId="0" fontId="66" fillId="0" borderId="88" xfId="0" applyFont="1" applyBorder="1" applyAlignment="1">
      <alignment vertical="center" wrapText="1" readingOrder="1"/>
    </xf>
    <xf numFmtId="43" fontId="64" fillId="0" borderId="1" xfId="1" applyFont="1" applyBorder="1"/>
    <xf numFmtId="0" fontId="66" fillId="0" borderId="89" xfId="0" applyFont="1" applyBorder="1" applyAlignment="1">
      <alignment vertical="center" wrapText="1" readingOrder="1"/>
    </xf>
    <xf numFmtId="0" fontId="64" fillId="0" borderId="1" xfId="0" applyFont="1" applyBorder="1" applyAlignment="1">
      <alignment horizontal="left" indent="3"/>
    </xf>
    <xf numFmtId="0" fontId="66" fillId="0" borderId="89" xfId="0" applyFont="1" applyBorder="1" applyAlignment="1">
      <alignment horizontal="left" vertical="center" wrapText="1" indent="1" readingOrder="1"/>
    </xf>
    <xf numFmtId="0" fontId="64" fillId="0" borderId="2" xfId="0" applyFont="1" applyBorder="1" applyAlignment="1">
      <alignment horizontal="left" indent="2"/>
    </xf>
    <xf numFmtId="0" fontId="66" fillId="0" borderId="90" xfId="0" applyFont="1" applyBorder="1" applyAlignment="1">
      <alignment vertical="center" wrapText="1" readingOrder="1"/>
    </xf>
    <xf numFmtId="43" fontId="64" fillId="0" borderId="2" xfId="1" applyFont="1" applyBorder="1"/>
    <xf numFmtId="0" fontId="67" fillId="0" borderId="1" xfId="0" applyFont="1" applyBorder="1" applyAlignment="1">
      <alignment vertical="center" wrapText="1" readingOrder="1"/>
    </xf>
    <xf numFmtId="165" fontId="68" fillId="0" borderId="20" xfId="0" applyNumberFormat="1" applyFont="1" applyBorder="1" applyAlignment="1">
      <alignment wrapText="1"/>
    </xf>
    <xf numFmtId="168" fontId="0" fillId="0" borderId="0" xfId="0" applyNumberFormat="1" applyAlignment="1">
      <alignment horizontal="center"/>
    </xf>
    <xf numFmtId="168" fontId="35" fillId="0" borderId="0" xfId="0" applyNumberFormat="1" applyFont="1" applyAlignment="1">
      <alignment horizontal="center"/>
    </xf>
    <xf numFmtId="168" fontId="36" fillId="0" borderId="0" xfId="0" applyNumberFormat="1" applyFont="1" applyAlignment="1">
      <alignment horizontal="right"/>
    </xf>
    <xf numFmtId="168" fontId="3" fillId="0" borderId="0" xfId="0" applyNumberFormat="1" applyFont="1" applyAlignment="1">
      <alignment horizontal="center"/>
    </xf>
    <xf numFmtId="43" fontId="22" fillId="0" borderId="0" xfId="0" applyNumberFormat="1" applyFont="1"/>
    <xf numFmtId="0" fontId="3" fillId="0" borderId="0" xfId="0" applyFont="1"/>
    <xf numFmtId="0" fontId="61" fillId="0" borderId="1" xfId="11" applyFont="1" applyBorder="1" applyAlignment="1" applyProtection="1">
      <alignment horizontal="left" vertical="center" wrapText="1"/>
      <protection locked="0"/>
    </xf>
    <xf numFmtId="0" fontId="54" fillId="0" borderId="0" xfId="0" applyFont="1" applyAlignment="1">
      <alignment horizontal="left" vertical="top" wrapText="1"/>
    </xf>
    <xf numFmtId="43" fontId="58" fillId="0" borderId="1" xfId="1" applyFont="1" applyBorder="1"/>
    <xf numFmtId="169" fontId="53" fillId="6" borderId="1" xfId="19" applyFont="1" applyFill="1" applyBorder="1"/>
    <xf numFmtId="0" fontId="54" fillId="12" borderId="1" xfId="0" applyFont="1" applyFill="1" applyBorder="1"/>
    <xf numFmtId="0" fontId="54" fillId="0" borderId="1" xfId="0" applyFont="1" applyBorder="1" applyAlignment="1">
      <alignment horizontal="left" wrapText="1"/>
    </xf>
    <xf numFmtId="0" fontId="54" fillId="0" borderId="1" xfId="0" applyFont="1" applyBorder="1" applyAlignment="1">
      <alignment horizontal="left" wrapText="1" indent="2"/>
    </xf>
    <xf numFmtId="0" fontId="58" fillId="12" borderId="1" xfId="0" applyFont="1" applyFill="1" applyBorder="1"/>
    <xf numFmtId="43" fontId="54" fillId="0" borderId="1" xfId="1" applyFont="1" applyBorder="1" applyAlignment="1">
      <alignment horizontal="center" vertical="center" wrapText="1"/>
    </xf>
    <xf numFmtId="43" fontId="54" fillId="0" borderId="1" xfId="1" applyFont="1" applyFill="1" applyBorder="1" applyAlignment="1">
      <alignment horizontal="center" vertical="center" wrapText="1"/>
    </xf>
    <xf numFmtId="43" fontId="54" fillId="0" borderId="0" xfId="1" applyFont="1" applyAlignment="1">
      <alignment wrapText="1"/>
    </xf>
    <xf numFmtId="43" fontId="54" fillId="0" borderId="26" xfId="1" applyFont="1" applyBorder="1" applyAlignment="1">
      <alignment horizontal="center" vertical="center" wrapText="1"/>
    </xf>
    <xf numFmtId="43" fontId="54" fillId="0" borderId="2" xfId="1" applyFont="1" applyFill="1" applyBorder="1" applyAlignment="1">
      <alignment horizontal="center" vertical="center" wrapText="1"/>
    </xf>
    <xf numFmtId="43" fontId="54" fillId="13" borderId="1" xfId="1" applyFont="1" applyFill="1" applyBorder="1"/>
    <xf numFmtId="0" fontId="54" fillId="0" borderId="80" xfId="0" applyFont="1" applyBorder="1"/>
    <xf numFmtId="43" fontId="54" fillId="0" borderId="1" xfId="1" applyFont="1" applyBorder="1" applyAlignment="1">
      <alignment horizontal="left" indent="2"/>
    </xf>
    <xf numFmtId="43" fontId="54" fillId="0" borderId="1" xfId="1" applyFont="1" applyFill="1" applyBorder="1" applyAlignment="1">
      <alignment horizontal="left" indent="3"/>
    </xf>
    <xf numFmtId="43" fontId="54" fillId="14" borderId="1" xfId="1" applyFont="1" applyFill="1" applyBorder="1"/>
    <xf numFmtId="43" fontId="54" fillId="0" borderId="1" xfId="1" applyFont="1" applyFill="1" applyBorder="1" applyAlignment="1">
      <alignment horizontal="left" vertical="top" wrapText="1" indent="2"/>
    </xf>
    <xf numFmtId="43" fontId="54" fillId="0" borderId="1" xfId="1" applyFont="1" applyFill="1" applyBorder="1"/>
    <xf numFmtId="43" fontId="54" fillId="0" borderId="1" xfId="1" applyFont="1" applyFill="1" applyBorder="1" applyAlignment="1">
      <alignment horizontal="left" wrapText="1" indent="3"/>
    </xf>
    <xf numFmtId="43" fontId="54" fillId="0" borderId="1" xfId="1" applyFont="1" applyFill="1" applyBorder="1" applyAlignment="1">
      <alignment horizontal="left" wrapText="1" indent="2"/>
    </xf>
    <xf numFmtId="43" fontId="54" fillId="0" borderId="1" xfId="1" applyFont="1" applyFill="1" applyBorder="1" applyAlignment="1">
      <alignment horizontal="left" wrapText="1" indent="1"/>
    </xf>
    <xf numFmtId="43" fontId="58" fillId="0" borderId="26" xfId="1" applyFont="1" applyBorder="1"/>
    <xf numFmtId="10" fontId="64" fillId="0" borderId="1" xfId="2" applyNumberFormat="1" applyFont="1" applyBorder="1"/>
    <xf numFmtId="10" fontId="64" fillId="0" borderId="2" xfId="2" applyNumberFormat="1" applyFont="1" applyBorder="1"/>
    <xf numFmtId="43" fontId="2" fillId="0" borderId="0" xfId="1" applyFont="1" applyFill="1" applyAlignment="1">
      <alignment wrapText="1"/>
    </xf>
    <xf numFmtId="14" fontId="54" fillId="0" borderId="0" xfId="0" applyNumberFormat="1" applyFont="1" applyAlignment="1">
      <alignment horizontal="left" wrapText="1"/>
    </xf>
    <xf numFmtId="43" fontId="53" fillId="6" borderId="1" xfId="1" applyFont="1" applyFill="1" applyBorder="1"/>
    <xf numFmtId="43" fontId="53" fillId="0" borderId="1" xfId="1" applyFont="1" applyBorder="1" applyAlignment="1">
      <alignment horizontal="left" vertical="center" wrapText="1"/>
    </xf>
    <xf numFmtId="43" fontId="54" fillId="0" borderId="1" xfId="1" applyFont="1" applyBorder="1" applyAlignment="1">
      <alignment horizontal="center" vertical="center"/>
    </xf>
    <xf numFmtId="43" fontId="57" fillId="0" borderId="1" xfId="1" applyFont="1" applyBorder="1" applyAlignment="1">
      <alignment horizontal="left" vertical="center" wrapText="1"/>
    </xf>
    <xf numFmtId="0" fontId="14" fillId="0" borderId="15" xfId="0" applyFont="1" applyBorder="1" applyAlignment="1">
      <alignment horizontal="center" wrapText="1"/>
    </xf>
    <xf numFmtId="0" fontId="9" fillId="0" borderId="19" xfId="0" applyFont="1" applyBorder="1" applyAlignment="1">
      <alignment wrapText="1"/>
    </xf>
    <xf numFmtId="0" fontId="9" fillId="0" borderId="20" xfId="0" applyFont="1" applyBorder="1"/>
    <xf numFmtId="0" fontId="9" fillId="0" borderId="8" xfId="0" applyFont="1" applyBorder="1" applyAlignment="1">
      <alignment vertical="top"/>
    </xf>
    <xf numFmtId="0" fontId="9" fillId="0" borderId="19" xfId="0" applyFont="1" applyBorder="1" applyAlignment="1">
      <alignment vertical="top" wrapText="1"/>
    </xf>
    <xf numFmtId="0" fontId="9" fillId="0" borderId="20" xfId="0" applyFont="1" applyBorder="1" applyAlignment="1">
      <alignment wrapText="1"/>
    </xf>
    <xf numFmtId="0" fontId="9" fillId="0" borderId="2" xfId="0" applyFont="1" applyBorder="1" applyAlignment="1">
      <alignment vertical="center"/>
    </xf>
    <xf numFmtId="165" fontId="9" fillId="0" borderId="14" xfId="0" applyNumberFormat="1" applyFont="1" applyBorder="1" applyAlignment="1" applyProtection="1">
      <alignment vertical="center"/>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xf>
    <xf numFmtId="0" fontId="14" fillId="0" borderId="24" xfId="0" applyFont="1" applyBorder="1" applyAlignment="1">
      <alignment horizontal="center"/>
    </xf>
    <xf numFmtId="0" fontId="31" fillId="0" borderId="1" xfId="0" applyFont="1" applyBorder="1" applyAlignment="1">
      <alignment wrapText="1"/>
    </xf>
    <xf numFmtId="0" fontId="4" fillId="0" borderId="20" xfId="0" applyFont="1" applyBorder="1"/>
    <xf numFmtId="0" fontId="14" fillId="0" borderId="19" xfId="0" applyFont="1" applyBorder="1" applyAlignment="1">
      <alignment horizontal="center" vertical="center" wrapText="1"/>
    </xf>
    <xf numFmtId="0" fontId="14" fillId="0" borderId="29" xfId="0" applyFont="1" applyBorder="1" applyAlignment="1">
      <alignment horizontal="center" vertical="center" wrapText="1"/>
    </xf>
    <xf numFmtId="0" fontId="32" fillId="0" borderId="5" xfId="5" applyFont="1" applyBorder="1" applyAlignment="1">
      <alignment horizontal="left"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xf>
    <xf numFmtId="0" fontId="4" fillId="0" borderId="29" xfId="0" applyFont="1" applyBorder="1" applyAlignment="1">
      <alignment horizontal="center"/>
    </xf>
    <xf numFmtId="0" fontId="16" fillId="6" borderId="3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6" borderId="11" xfId="0" applyFont="1" applyFill="1" applyBorder="1" applyAlignment="1">
      <alignment horizontal="center" vertical="center" wrapText="1"/>
    </xf>
    <xf numFmtId="9" fontId="4" fillId="0" borderId="19"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0" fillId="2" borderId="30" xfId="11" applyFont="1" applyFill="1" applyBorder="1" applyAlignment="1" applyProtection="1">
      <alignment horizontal="center" vertical="center" wrapText="1"/>
      <protection locked="0"/>
    </xf>
    <xf numFmtId="0" fontId="40" fillId="2" borderId="31"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167" fontId="15" fillId="2" borderId="6" xfId="15" applyNumberFormat="1" applyFont="1" applyFill="1" applyBorder="1" applyAlignment="1" applyProtection="1">
      <alignment horizontal="center"/>
      <protection locked="0"/>
    </xf>
    <xf numFmtId="167" fontId="15" fillId="2" borderId="7" xfId="15" applyNumberFormat="1" applyFont="1" applyFill="1" applyBorder="1" applyAlignment="1" applyProtection="1">
      <alignment horizontal="center"/>
      <protection locked="0"/>
    </xf>
    <xf numFmtId="167" fontId="15" fillId="2" borderId="24" xfId="15" applyNumberFormat="1" applyFont="1" applyFill="1" applyBorder="1" applyAlignment="1" applyProtection="1">
      <alignment horizontal="center"/>
      <protection locked="0"/>
    </xf>
    <xf numFmtId="167" fontId="15" fillId="0" borderId="60" xfId="15" applyNumberFormat="1" applyFont="1" applyFill="1" applyBorder="1" applyAlignment="1" applyProtection="1">
      <alignment horizontal="center" vertical="center" wrapText="1"/>
      <protection locked="0"/>
    </xf>
    <xf numFmtId="167" fontId="15" fillId="0" borderId="62" xfId="15" applyNumberFormat="1" applyFont="1" applyFill="1" applyBorder="1" applyAlignment="1" applyProtection="1">
      <alignment horizontal="center" vertical="center" wrapText="1"/>
      <protection locked="0"/>
    </xf>
    <xf numFmtId="0" fontId="16" fillId="0" borderId="61" xfId="0" applyFont="1" applyBorder="1" applyAlignment="1">
      <alignment horizontal="center" vertical="center" wrapText="1"/>
    </xf>
    <xf numFmtId="0" fontId="16" fillId="0" borderId="63" xfId="0" applyFont="1" applyBorder="1" applyAlignment="1">
      <alignment horizontal="center" vertical="center" wrapText="1"/>
    </xf>
    <xf numFmtId="0" fontId="4" fillId="0" borderId="19" xfId="0" applyFont="1" applyBorder="1" applyAlignment="1">
      <alignment horizontal="center" wrapText="1"/>
    </xf>
    <xf numFmtId="0" fontId="4" fillId="0" borderId="11" xfId="0" applyFont="1" applyBorder="1" applyAlignment="1">
      <alignment horizont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4" fillId="0" borderId="5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 xfId="0" applyFont="1" applyBorder="1" applyAlignment="1">
      <alignment horizontal="center"/>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57" fillId="0" borderId="76" xfId="0" applyFont="1" applyBorder="1" applyAlignment="1">
      <alignment horizontal="left" vertical="center" wrapText="1"/>
    </xf>
    <xf numFmtId="0" fontId="57" fillId="0" borderId="77" xfId="0" applyFont="1" applyBorder="1" applyAlignment="1">
      <alignment horizontal="left" vertical="center" wrapText="1"/>
    </xf>
    <xf numFmtId="0" fontId="57" fillId="0" borderId="78" xfId="0" applyFont="1" applyBorder="1" applyAlignment="1">
      <alignment horizontal="left" vertical="center" wrapText="1"/>
    </xf>
    <xf numFmtId="0" fontId="57" fillId="0" borderId="79" xfId="0" applyFont="1" applyBorder="1" applyAlignment="1">
      <alignment horizontal="left" vertical="center" wrapText="1"/>
    </xf>
    <xf numFmtId="0" fontId="57" fillId="0" borderId="81" xfId="0" applyFont="1" applyBorder="1" applyAlignment="1">
      <alignment horizontal="left" vertical="center" wrapText="1"/>
    </xf>
    <xf numFmtId="0" fontId="57" fillId="0" borderId="82" xfId="0" applyFont="1" applyBorder="1" applyAlignment="1">
      <alignment horizontal="left"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67" xfId="0" applyFont="1" applyBorder="1" applyAlignment="1">
      <alignment horizontal="center" vertical="center" wrapText="1"/>
    </xf>
    <xf numFmtId="0" fontId="58" fillId="0" borderId="80" xfId="0" applyFont="1" applyBorder="1" applyAlignment="1">
      <alignment horizontal="center" vertical="center" wrapText="1"/>
    </xf>
    <xf numFmtId="0" fontId="58" fillId="0" borderId="10"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 xfId="0" applyFont="1" applyBorder="1" applyAlignment="1">
      <alignment horizontal="center" vertical="center" wrapText="1"/>
    </xf>
    <xf numFmtId="0" fontId="63" fillId="0" borderId="1" xfId="0" applyFont="1" applyBorder="1" applyAlignment="1">
      <alignment horizontal="center" vertical="center"/>
    </xf>
    <xf numFmtId="0" fontId="63" fillId="0" borderId="3" xfId="0" applyFont="1" applyBorder="1" applyAlignment="1">
      <alignment horizontal="center" vertical="center"/>
    </xf>
    <xf numFmtId="0" fontId="63" fillId="0" borderId="9" xfId="0" applyFont="1" applyBorder="1" applyAlignment="1">
      <alignment horizontal="center" vertical="center"/>
    </xf>
    <xf numFmtId="0" fontId="63" fillId="0" borderId="67" xfId="0" applyFont="1" applyBorder="1" applyAlignment="1">
      <alignment horizontal="center" vertical="center"/>
    </xf>
    <xf numFmtId="0" fontId="63" fillId="0" borderId="10" xfId="0" applyFont="1" applyBorder="1" applyAlignment="1">
      <alignment horizontal="center" vertical="center"/>
    </xf>
    <xf numFmtId="0" fontId="58" fillId="0" borderId="1" xfId="0" applyFont="1" applyBorder="1" applyAlignment="1">
      <alignment horizontal="center" vertical="center" wrapText="1"/>
    </xf>
    <xf numFmtId="0" fontId="58" fillId="0" borderId="83" xfId="0" applyFont="1" applyBorder="1" applyAlignment="1">
      <alignment horizontal="center" vertical="center" wrapText="1"/>
    </xf>
    <xf numFmtId="0" fontId="58" fillId="0" borderId="84"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11" xfId="0" applyFont="1" applyBorder="1" applyAlignment="1">
      <alignment horizontal="center" vertical="center" wrapText="1"/>
    </xf>
    <xf numFmtId="0" fontId="58" fillId="0" borderId="85" xfId="0" applyFont="1" applyBorder="1" applyAlignment="1">
      <alignment horizontal="center" vertical="center" wrapText="1"/>
    </xf>
    <xf numFmtId="0" fontId="58" fillId="0" borderId="26" xfId="0" applyFont="1" applyBorder="1" applyAlignment="1">
      <alignment horizontal="center" vertical="center" wrapText="1"/>
    </xf>
    <xf numFmtId="0" fontId="54" fillId="0" borderId="85" xfId="0" applyFont="1" applyBorder="1" applyAlignment="1">
      <alignment horizontal="center" vertical="center" wrapText="1"/>
    </xf>
    <xf numFmtId="0" fontId="54" fillId="0" borderId="83" xfId="0" applyFont="1" applyBorder="1" applyAlignment="1">
      <alignment horizontal="center" vertical="center" wrapText="1"/>
    </xf>
    <xf numFmtId="0" fontId="54" fillId="0" borderId="0" xfId="0" applyFont="1" applyAlignment="1">
      <alignment horizontal="center" vertical="center" wrapText="1"/>
    </xf>
    <xf numFmtId="0" fontId="54" fillId="0" borderId="84" xfId="0" applyFont="1" applyBorder="1" applyAlignment="1">
      <alignment horizontal="center" vertical="center" wrapText="1"/>
    </xf>
    <xf numFmtId="0" fontId="54" fillId="0" borderId="10" xfId="0" applyFont="1" applyBorder="1" applyAlignment="1">
      <alignment horizontal="center" vertical="center" wrapText="1"/>
    </xf>
    <xf numFmtId="0" fontId="57" fillId="0" borderId="3" xfId="0" applyFont="1" applyBorder="1" applyAlignment="1">
      <alignment horizontal="left" vertical="top" wrapText="1"/>
    </xf>
    <xf numFmtId="0" fontId="57" fillId="0" borderId="9" xfId="0" applyFont="1" applyBorder="1" applyAlignment="1">
      <alignment horizontal="left" vertical="top" wrapText="1"/>
    </xf>
    <xf numFmtId="0" fontId="57" fillId="0" borderId="83" xfId="0" applyFont="1" applyBorder="1" applyAlignment="1">
      <alignment horizontal="left" vertical="top" wrapText="1"/>
    </xf>
    <xf numFmtId="0" fontId="57" fillId="0" borderId="84" xfId="0" applyFont="1" applyBorder="1" applyAlignment="1">
      <alignment horizontal="left" vertical="top" wrapText="1"/>
    </xf>
    <xf numFmtId="0" fontId="57" fillId="0" borderId="67" xfId="0" applyFont="1" applyBorder="1" applyAlignment="1">
      <alignment horizontal="left" vertical="top" wrapText="1"/>
    </xf>
    <xf numFmtId="0" fontId="57" fillId="0" borderId="10" xfId="0" applyFont="1" applyBorder="1" applyAlignment="1">
      <alignment horizontal="left" vertical="top" wrapText="1"/>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9" xfId="0" applyFont="1" applyBorder="1" applyAlignment="1">
      <alignment horizontal="center" vertical="center"/>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3" xfId="0" applyFont="1" applyBorder="1" applyAlignment="1">
      <alignment horizontal="center" vertical="top" wrapText="1"/>
    </xf>
    <xf numFmtId="0" fontId="54" fillId="0" borderId="4" xfId="0" applyFont="1" applyBorder="1" applyAlignment="1">
      <alignment horizontal="center" vertical="top" wrapText="1"/>
    </xf>
    <xf numFmtId="0" fontId="54" fillId="0" borderId="9" xfId="0" applyFont="1" applyBorder="1" applyAlignment="1">
      <alignment horizontal="center" vertical="top" wrapText="1"/>
    </xf>
    <xf numFmtId="0" fontId="54" fillId="0" borderId="32" xfId="0" applyFont="1" applyBorder="1" applyAlignment="1">
      <alignment horizontal="center" vertical="top" wrapText="1"/>
    </xf>
    <xf numFmtId="0" fontId="54" fillId="0" borderId="11" xfId="0" applyFont="1" applyBorder="1" applyAlignment="1">
      <alignment horizontal="center" vertical="top" wrapText="1"/>
    </xf>
    <xf numFmtId="0" fontId="54" fillId="0" borderId="2" xfId="0" applyFont="1" applyBorder="1" applyAlignment="1">
      <alignment horizontal="center" vertical="top" wrapText="1"/>
    </xf>
    <xf numFmtId="0" fontId="54" fillId="0" borderId="26" xfId="0" applyFont="1" applyBorder="1" applyAlignment="1">
      <alignment horizontal="center" vertical="top" wrapText="1"/>
    </xf>
    <xf numFmtId="0" fontId="57" fillId="0" borderId="86" xfId="0" applyFont="1" applyBorder="1" applyAlignment="1">
      <alignment horizontal="left" vertical="top" wrapText="1"/>
    </xf>
    <xf numFmtId="0" fontId="57" fillId="0" borderId="87" xfId="0" applyFont="1" applyBorder="1" applyAlignment="1">
      <alignment horizontal="left" vertical="top" wrapText="1"/>
    </xf>
    <xf numFmtId="0" fontId="64" fillId="0" borderId="1" xfId="0" applyFont="1" applyBorder="1" applyAlignment="1">
      <alignment horizontal="center" vertical="center" wrapText="1"/>
    </xf>
    <xf numFmtId="0" fontId="65" fillId="0" borderId="1" xfId="0" applyFont="1" applyBorder="1" applyAlignment="1">
      <alignment horizontal="center" vertical="center"/>
    </xf>
    <xf numFmtId="0" fontId="64" fillId="0" borderId="2" xfId="0" applyFont="1" applyBorder="1" applyAlignment="1">
      <alignment horizontal="center" vertical="center" wrapText="1"/>
    </xf>
  </cellXfs>
  <cellStyles count="20">
    <cellStyle name="=C:\WINNT35\SYSTEM32\COMMAND.COM" xfId="17" xr:uid="{72F822FB-F823-4C07-A9E6-D945FEEEBC04}"/>
    <cellStyle name="1Normal 2" xfId="6" xr:uid="{E4A63B2F-1E2D-47E2-A254-6CC415C124C0}"/>
    <cellStyle name="Comma" xfId="1" builtinId="3"/>
    <cellStyle name="Comma 10" xfId="18" xr:uid="{0A42BA48-8F57-48AE-83EC-69E083A9FD8E}"/>
    <cellStyle name="Comma 111" xfId="19" xr:uid="{F8E948C8-EA72-4AF0-8A0E-5CFCFD2DA4FA}"/>
    <cellStyle name="Comma 2" xfId="15" xr:uid="{85D2500F-2080-4623-967F-D02B6AF218EC}"/>
    <cellStyle name="Comma 3" xfId="10" xr:uid="{8B168036-5D8E-493B-A6AA-26A82FBEE9EA}"/>
    <cellStyle name="Hyperlink" xfId="3" builtinId="8"/>
    <cellStyle name="Normal" xfId="0" builtinId="0"/>
    <cellStyle name="Normal 121 2" xfId="12" xr:uid="{5D32D36F-E6D1-4BDF-92E3-7802C9498E1A}"/>
    <cellStyle name="Normal 122" xfId="4" xr:uid="{05A9CA25-3499-4EDF-AE3F-4D266FE5A93A}"/>
    <cellStyle name="Normal 2" xfId="5" xr:uid="{E1E87E6A-F05A-4228-B9E6-841375EDE307}"/>
    <cellStyle name="Normal 2 2" xfId="13" xr:uid="{F6886572-FA89-4003-9FD6-4CA00E6FDDAB}"/>
    <cellStyle name="Normal 4" xfId="11" xr:uid="{B918E2C1-40E5-46AA-958E-0DC64FBC3C48}"/>
    <cellStyle name="Normal_Capital &amp; RWA N" xfId="8" xr:uid="{2D6A2B69-BBBB-47E8-A360-7830FCD653CD}"/>
    <cellStyle name="Normal_Capital &amp; RWA N 2" xfId="14" xr:uid="{6F23A87A-7130-4F63-831C-36B075A39B29}"/>
    <cellStyle name="Normal_Casestdy draft" xfId="16" xr:uid="{8E836CA5-3C09-43F4-8504-5D63D001D78C}"/>
    <cellStyle name="Normal_Casestdy draft 2" xfId="9" xr:uid="{7387862E-886F-4DD8-9E4D-F4D698E50430}"/>
    <cellStyle name="Percent" xfId="2" builtinId="5"/>
    <cellStyle name="Percent 2" xfId="7" xr:uid="{37BEFE61-EAD5-4ABB-9CC6-F73B5D87F25F}"/>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AAEE5221-A3AA-4FAA-BDBE-9DCF5B1B0C75}"/>
            </a:ext>
          </a:extLst>
        </xdr:cNvPr>
        <xdr:cNvCxnSpPr/>
      </xdr:nvCxnSpPr>
      <xdr:spPr>
        <a:xfrm>
          <a:off x="552450" y="1143000"/>
          <a:ext cx="4219575"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1-06-23T07:44:58.93" personId="{00000000-0000-0000-0000-000000000000}" id="{9A9D9CB7-70A8-4825-976B-47BF2F55A9C7}">
    <text>ეს არის კოვიდ 19-ის ბალკი და მოითხოვეს ესე ცალკე ჯამის სახით ჩასმა</text>
  </threadedComment>
  <threadedComment ref="D23" dT="2021-06-23T07:32:17.11" personId="{00000000-0000-0000-0000-000000000000}" id="{BCEE58E6-852D-4699-9413-F2DAD7D06A15}">
    <text>დარიცხული პროცენტი დავამატეთ</text>
  </threadedComment>
  <threadedComment ref="D23" dT="2021-10-27T11:51:17.49" personId="{00000000-0000-0000-0000-000000000000}" id="{D7D8109F-009C-4265-820A-C3C41D4ADAB1}" parentId="{BCEE58E6-852D-4699-9413-F2DAD7D06A15}">
    <text>მაღლა თუ ძირია მარტო აქ დარიცხულ პროცენტს რატო ვამატებთ? მათ შორისო არის ეს გრაფა და წესით იგივე ინფო უნდა შეგვყავდეს რაც ზემოთ არაა?</text>
  </threadedComment>
  <threadedComment ref="D23" dT="2021-10-28T08:46:18.78" personId="{00000000-0000-0000-0000-000000000000}" id="{C532EB8A-EAB3-4D3D-ACA9-5EF668DE6DFE}" parentId="{BCEE58E6-852D-4699-9413-F2DAD7D06A15}">
    <text>ეროვნულმა გაგვასწორებინა წინაზე ტელეფონით. მეილი არ მოუწერიათ</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F6ADF-1744-4296-8151-F6DD3F94E20C}">
  <sheetPr>
    <tabColor theme="2" tint="-9.9978637043366805E-2"/>
  </sheetPr>
  <dimension ref="A1:C24"/>
  <sheetViews>
    <sheetView workbookViewId="0">
      <pane xSplit="1" ySplit="7" topLeftCell="B8" activePane="bottomRight" state="frozen"/>
      <selection activeCell="D49" sqref="D49"/>
      <selection pane="topRight" activeCell="D49" sqref="D49"/>
      <selection pane="bottomLeft" activeCell="D49" sqref="D49"/>
      <selection pane="bottomRight" activeCell="C4" sqref="C4"/>
    </sheetView>
  </sheetViews>
  <sheetFormatPr defaultRowHeight="15" x14ac:dyDescent="0.25"/>
  <cols>
    <col min="1" max="1" width="10.28515625" style="17" customWidth="1"/>
    <col min="2" max="2" width="134.7109375" bestFit="1" customWidth="1"/>
    <col min="3" max="3" width="39.42578125" customWidth="1"/>
    <col min="7" max="7" width="25" customWidth="1"/>
  </cols>
  <sheetData>
    <row r="1" spans="1:3" ht="15.75" x14ac:dyDescent="0.3">
      <c r="A1" s="1"/>
      <c r="B1" s="2" t="s">
        <v>0</v>
      </c>
      <c r="C1" s="3"/>
    </row>
    <row r="2" spans="1:3" s="7" customFormat="1" ht="15.75" x14ac:dyDescent="0.3">
      <c r="A2" s="4">
        <v>1</v>
      </c>
      <c r="B2" s="5" t="s">
        <v>1</v>
      </c>
      <c r="C2" s="6" t="s">
        <v>2</v>
      </c>
    </row>
    <row r="3" spans="1:3" s="7" customFormat="1" ht="15.75" x14ac:dyDescent="0.3">
      <c r="A3" s="4">
        <v>2</v>
      </c>
      <c r="B3" s="8" t="s">
        <v>3</v>
      </c>
      <c r="C3" s="6" t="s">
        <v>4</v>
      </c>
    </row>
    <row r="4" spans="1:3" s="7" customFormat="1" ht="15.75" x14ac:dyDescent="0.3">
      <c r="A4" s="4">
        <v>3</v>
      </c>
      <c r="B4" s="8" t="s">
        <v>5</v>
      </c>
      <c r="C4" s="6" t="s">
        <v>6</v>
      </c>
    </row>
    <row r="5" spans="1:3" s="7" customFormat="1" ht="15.75" x14ac:dyDescent="0.3">
      <c r="A5" s="9">
        <v>4</v>
      </c>
      <c r="B5" s="10" t="s">
        <v>7</v>
      </c>
      <c r="C5" s="6" t="s">
        <v>8</v>
      </c>
    </row>
    <row r="6" spans="1:3" s="11" customFormat="1" ht="65.25" customHeight="1" x14ac:dyDescent="0.3">
      <c r="A6" s="631" t="s">
        <v>9</v>
      </c>
      <c r="B6" s="632"/>
      <c r="C6" s="632"/>
    </row>
    <row r="7" spans="1:3" x14ac:dyDescent="0.25">
      <c r="A7" s="12" t="s">
        <v>10</v>
      </c>
      <c r="B7" s="2" t="s">
        <v>11</v>
      </c>
    </row>
    <row r="8" spans="1:3" x14ac:dyDescent="0.25">
      <c r="A8" s="1">
        <v>1</v>
      </c>
      <c r="B8" s="13" t="s">
        <v>12</v>
      </c>
    </row>
    <row r="9" spans="1:3" x14ac:dyDescent="0.25">
      <c r="A9" s="1">
        <v>2</v>
      </c>
      <c r="B9" s="13" t="s">
        <v>13</v>
      </c>
    </row>
    <row r="10" spans="1:3" x14ac:dyDescent="0.25">
      <c r="A10" s="1">
        <v>3</v>
      </c>
      <c r="B10" s="13" t="s">
        <v>14</v>
      </c>
    </row>
    <row r="11" spans="1:3" x14ac:dyDescent="0.25">
      <c r="A11" s="1">
        <v>4</v>
      </c>
      <c r="B11" s="13" t="s">
        <v>15</v>
      </c>
    </row>
    <row r="12" spans="1:3" x14ac:dyDescent="0.25">
      <c r="A12" s="1">
        <v>5</v>
      </c>
      <c r="B12" s="13" t="s">
        <v>16</v>
      </c>
    </row>
    <row r="13" spans="1:3" x14ac:dyDescent="0.25">
      <c r="A13" s="1">
        <v>6</v>
      </c>
      <c r="B13" s="14" t="s">
        <v>17</v>
      </c>
    </row>
    <row r="14" spans="1:3" x14ac:dyDescent="0.25">
      <c r="A14" s="1">
        <v>7</v>
      </c>
      <c r="B14" s="13" t="s">
        <v>18</v>
      </c>
    </row>
    <row r="15" spans="1:3" x14ac:dyDescent="0.25">
      <c r="A15" s="1">
        <v>8</v>
      </c>
      <c r="B15" s="13" t="s">
        <v>19</v>
      </c>
    </row>
    <row r="16" spans="1:3" x14ac:dyDescent="0.25">
      <c r="A16" s="1">
        <v>9</v>
      </c>
      <c r="B16" s="13" t="s">
        <v>20</v>
      </c>
    </row>
    <row r="17" spans="1:2" x14ac:dyDescent="0.25">
      <c r="A17" s="15" t="s">
        <v>21</v>
      </c>
      <c r="B17" s="13" t="s">
        <v>22</v>
      </c>
    </row>
    <row r="18" spans="1:2" x14ac:dyDescent="0.25">
      <c r="A18" s="1">
        <v>10</v>
      </c>
      <c r="B18" s="13" t="s">
        <v>23</v>
      </c>
    </row>
    <row r="19" spans="1:2" x14ac:dyDescent="0.25">
      <c r="A19" s="1">
        <v>11</v>
      </c>
      <c r="B19" s="14" t="s">
        <v>24</v>
      </c>
    </row>
    <row r="20" spans="1:2" x14ac:dyDescent="0.25">
      <c r="A20" s="1">
        <v>12</v>
      </c>
      <c r="B20" s="14" t="s">
        <v>25</v>
      </c>
    </row>
    <row r="21" spans="1:2" x14ac:dyDescent="0.25">
      <c r="A21" s="1">
        <v>13</v>
      </c>
      <c r="B21" s="16" t="s">
        <v>26</v>
      </c>
    </row>
    <row r="22" spans="1:2" x14ac:dyDescent="0.25">
      <c r="A22" s="1">
        <v>14</v>
      </c>
      <c r="B22" s="13" t="s">
        <v>27</v>
      </c>
    </row>
    <row r="23" spans="1:2" x14ac:dyDescent="0.25">
      <c r="A23" s="1">
        <v>15</v>
      </c>
      <c r="B23" s="14" t="s">
        <v>28</v>
      </c>
    </row>
    <row r="24" spans="1:2" x14ac:dyDescent="0.25">
      <c r="A24" s="1">
        <v>15.1</v>
      </c>
      <c r="B24" s="13" t="s">
        <v>29</v>
      </c>
    </row>
  </sheetData>
  <mergeCells count="1">
    <mergeCell ref="A6:C6"/>
  </mergeCells>
  <hyperlinks>
    <hyperlink ref="B8" location="'1. key ratios'!A1" display="ცხრილი 1: ძირითადი მაჩვენებლები" xr:uid="{219BEE0A-2994-4252-9248-9FA7B29302DA}"/>
    <hyperlink ref="B9" location="'2. RC'!A1" display="ცხრილი 2: საბალანსო უწყისი" xr:uid="{8C3B65B7-294B-4A97-92D0-EBDD9F9E04C3}"/>
    <hyperlink ref="B10" location="'3. PL'!A1" display="ცხრილი 3: მოგება-ზარალის ანგარიშგება" xr:uid="{876021E3-0316-4838-ADD2-44FAB8E4C191}"/>
    <hyperlink ref="B11" location="'4. Off-Balance'!A1" display="ბალანსგარეშე ანგარიშების უწყისი " xr:uid="{ED195D7E-48C9-46AF-9E3C-C5EEBDD90064}"/>
    <hyperlink ref="B12" location="'5. RWA'!A1" display="ცხრილი 5: რისკის მიხედვით შეწონილი რისკის პოზიციები" xr:uid="{7F2713D3-FAE9-47E2-A99E-136FE4A68EAB}"/>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7050AC5E-15B9-4B8F-8A85-7E33D685C019}"/>
    <hyperlink ref="B13" location="'6. Administrators-shareholders'!A1" display="ინფორმაცია ბანკის სამეთვალყურეო საბჭოს, დირექტორატის და აქციონერთა შესახებ" xr:uid="{99F1F0DD-C62D-4C77-AB2F-B82A9FC90AEF}"/>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77912531-B8CF-4104-BCC0-35A68D2CFCA5}"/>
    <hyperlink ref="B16" location="'9. Capital'!A1" display="ცხრილი 9: საზედამხედველო კაპიტალი" xr:uid="{99E14499-D9E4-4598-A33B-E5318D3CA32B}"/>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F5E72BF3-2DCC-40D8-9AE0-CC56B6DB7A1E}"/>
    <hyperlink ref="B20" location="'12. CRM'!A1" display="საკრედიტო რისკის მიტიგაცია" xr:uid="{B5600EF1-F604-48A0-9B41-3856C9A48929}"/>
    <hyperlink ref="B19" location="'11. CRWA'!A1" display="საკრედიტო რისკის მიხედვით შეწონილი რისკის პოზიციები" xr:uid="{94AE0CA0-01D9-4FA8-AB11-989A3D222751}"/>
    <hyperlink ref="B21" location="'13. CRME'!A1" display="სტანდარტიზებული მიდგომა - საკრედიტო რისკი საკრედიტო რისკის მიტიგაციის ეფექტი" xr:uid="{65494CB8-46CE-44A9-8CCB-42CBFF2618F0}"/>
    <hyperlink ref="B23" location="'15. CCR'!A1" display="კონტრაგენტთან დაკავშირებული საკრედიტო რისკის მიხედვით შეწონილი რისკის პოზიციები" xr:uid="{B43C33FF-C1D7-48AA-A60C-B415EB2B789B}"/>
    <hyperlink ref="B22" location="'14. LCR'!A1" display="ლიკვიდობის გადაფარვის კოეფიციენტი" xr:uid="{231C77B7-FE9E-454D-8EA3-B485CD82F7E2}"/>
    <hyperlink ref="B17" location="'9.1. Capital Requirements'!A1" display="კაპიტალის ადეკვატურობის მოთხოვნები" xr:uid="{AEF5EF9E-9961-43EA-88E5-79B82897DF68}"/>
    <hyperlink ref="B24" location="'15.1. LR'!A1" display="ლევერიჯის კოეფიციენტი" xr:uid="{78EE99AB-5B74-4E3A-9AA3-CB0077861FB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5A973-E009-4243-8939-FB3866F9209B}">
  <dimension ref="A1:F56"/>
  <sheetViews>
    <sheetView zoomScale="85" zoomScaleNormal="85" workbookViewId="0">
      <pane xSplit="1" ySplit="5" topLeftCell="B24" activePane="bottomRight" state="frozen"/>
      <selection activeCell="B3" sqref="B3"/>
      <selection pane="topRight" activeCell="B3" sqref="B3"/>
      <selection pane="bottomLeft" activeCell="B3" sqref="B3"/>
      <selection pane="bottomRight" activeCell="C6" sqref="C6:C52"/>
    </sheetView>
  </sheetViews>
  <sheetFormatPr defaultRowHeight="15" x14ac:dyDescent="0.25"/>
  <cols>
    <col min="1" max="1" width="9.5703125" style="17" bestFit="1" customWidth="1"/>
    <col min="2" max="2" width="112.7109375" style="17" customWidth="1"/>
    <col min="3" max="3" width="18.42578125" style="17" customWidth="1"/>
  </cols>
  <sheetData>
    <row r="1" spans="1:6" ht="15.75" x14ac:dyDescent="0.3">
      <c r="A1" s="18" t="s">
        <v>30</v>
      </c>
      <c r="B1" s="136" t="s">
        <v>2</v>
      </c>
      <c r="D1" s="17"/>
      <c r="E1" s="17"/>
      <c r="F1" s="17"/>
    </row>
    <row r="2" spans="1:6" s="18" customFormat="1" ht="15.75" customHeight="1" x14ac:dyDescent="0.3">
      <c r="A2" s="18" t="s">
        <v>31</v>
      </c>
      <c r="B2" s="177">
        <v>44742</v>
      </c>
    </row>
    <row r="3" spans="1:6" s="18" customFormat="1" ht="15.75" customHeight="1" x14ac:dyDescent="0.3"/>
    <row r="4" spans="1:6" ht="15.75" thickBot="1" x14ac:dyDescent="0.3">
      <c r="A4" s="17" t="s">
        <v>297</v>
      </c>
      <c r="B4" s="224" t="s">
        <v>20</v>
      </c>
    </row>
    <row r="5" spans="1:6" x14ac:dyDescent="0.25">
      <c r="A5" s="225" t="s">
        <v>33</v>
      </c>
      <c r="B5" s="226"/>
      <c r="C5" s="227" t="s">
        <v>82</v>
      </c>
    </row>
    <row r="6" spans="1:6" x14ac:dyDescent="0.25">
      <c r="A6" s="228">
        <v>1</v>
      </c>
      <c r="B6" s="229" t="s">
        <v>298</v>
      </c>
      <c r="C6" s="230">
        <f>SUM(C7:C11)</f>
        <v>51936558.479999997</v>
      </c>
    </row>
    <row r="7" spans="1:6" x14ac:dyDescent="0.25">
      <c r="A7" s="228">
        <v>2</v>
      </c>
      <c r="B7" s="231" t="s">
        <v>299</v>
      </c>
      <c r="C7" s="232">
        <f>'2. RC'!E33</f>
        <v>61146400</v>
      </c>
    </row>
    <row r="8" spans="1:6" x14ac:dyDescent="0.25">
      <c r="A8" s="228">
        <v>3</v>
      </c>
      <c r="B8" s="233" t="s">
        <v>300</v>
      </c>
      <c r="C8" s="232"/>
    </row>
    <row r="9" spans="1:6" x14ac:dyDescent="0.25">
      <c r="A9" s="228">
        <v>4</v>
      </c>
      <c r="B9" s="233" t="s">
        <v>301</v>
      </c>
      <c r="C9" s="232"/>
    </row>
    <row r="10" spans="1:6" x14ac:dyDescent="0.25">
      <c r="A10" s="228">
        <v>5</v>
      </c>
      <c r="B10" s="233" t="s">
        <v>302</v>
      </c>
      <c r="C10" s="232">
        <f>'2. RC'!E39</f>
        <v>3961327.54</v>
      </c>
    </row>
    <row r="11" spans="1:6" x14ac:dyDescent="0.25">
      <c r="A11" s="228">
        <v>6</v>
      </c>
      <c r="B11" s="234" t="s">
        <v>303</v>
      </c>
      <c r="C11" s="232">
        <f>'2. RC'!E38</f>
        <v>-13171169.060000001</v>
      </c>
    </row>
    <row r="12" spans="1:6" s="211" customFormat="1" x14ac:dyDescent="0.25">
      <c r="A12" s="228">
        <v>7</v>
      </c>
      <c r="B12" s="229" t="s">
        <v>304</v>
      </c>
      <c r="C12" s="235">
        <f>SUM(C13:C27)</f>
        <v>4267448.76</v>
      </c>
    </row>
    <row r="13" spans="1:6" s="211" customFormat="1" x14ac:dyDescent="0.25">
      <c r="A13" s="228">
        <v>8</v>
      </c>
      <c r="B13" s="236" t="s">
        <v>305</v>
      </c>
      <c r="C13" s="237">
        <f>C10</f>
        <v>3961327.54</v>
      </c>
    </row>
    <row r="14" spans="1:6" s="211" customFormat="1" ht="25.5" x14ac:dyDescent="0.25">
      <c r="A14" s="228">
        <v>9</v>
      </c>
      <c r="B14" s="238" t="s">
        <v>306</v>
      </c>
      <c r="C14" s="237"/>
    </row>
    <row r="15" spans="1:6" s="211" customFormat="1" x14ac:dyDescent="0.25">
      <c r="A15" s="228">
        <v>10</v>
      </c>
      <c r="B15" s="239" t="s">
        <v>307</v>
      </c>
      <c r="C15" s="237">
        <f>'7. LI1'!D19</f>
        <v>306121.21999999997</v>
      </c>
    </row>
    <row r="16" spans="1:6" s="211" customFormat="1" x14ac:dyDescent="0.25">
      <c r="A16" s="228">
        <v>11</v>
      </c>
      <c r="B16" s="240" t="s">
        <v>308</v>
      </c>
      <c r="C16" s="237"/>
    </row>
    <row r="17" spans="1:3" s="211" customFormat="1" x14ac:dyDescent="0.25">
      <c r="A17" s="228">
        <v>12</v>
      </c>
      <c r="B17" s="239" t="s">
        <v>309</v>
      </c>
      <c r="C17" s="237"/>
    </row>
    <row r="18" spans="1:3" s="211" customFormat="1" x14ac:dyDescent="0.25">
      <c r="A18" s="228">
        <v>13</v>
      </c>
      <c r="B18" s="239" t="s">
        <v>310</v>
      </c>
      <c r="C18" s="237"/>
    </row>
    <row r="19" spans="1:3" s="211" customFormat="1" x14ac:dyDescent="0.25">
      <c r="A19" s="228">
        <v>14</v>
      </c>
      <c r="B19" s="239" t="s">
        <v>311</v>
      </c>
      <c r="C19" s="237"/>
    </row>
    <row r="20" spans="1:3" s="211" customFormat="1" ht="25.5" x14ac:dyDescent="0.25">
      <c r="A20" s="228">
        <v>15</v>
      </c>
      <c r="B20" s="239" t="s">
        <v>312</v>
      </c>
      <c r="C20" s="237"/>
    </row>
    <row r="21" spans="1:3" s="211" customFormat="1" ht="25.5" x14ac:dyDescent="0.25">
      <c r="A21" s="228">
        <v>16</v>
      </c>
      <c r="B21" s="238" t="s">
        <v>313</v>
      </c>
      <c r="C21" s="237"/>
    </row>
    <row r="22" spans="1:3" s="211" customFormat="1" x14ac:dyDescent="0.25">
      <c r="A22" s="228">
        <v>17</v>
      </c>
      <c r="B22" s="241" t="s">
        <v>314</v>
      </c>
      <c r="C22" s="237"/>
    </row>
    <row r="23" spans="1:3" s="211" customFormat="1" ht="25.5" x14ac:dyDescent="0.25">
      <c r="A23" s="228">
        <v>18</v>
      </c>
      <c r="B23" s="238" t="s">
        <v>315</v>
      </c>
      <c r="C23" s="237"/>
    </row>
    <row r="24" spans="1:3" s="211" customFormat="1" ht="25.5" x14ac:dyDescent="0.25">
      <c r="A24" s="228">
        <v>19</v>
      </c>
      <c r="B24" s="238" t="s">
        <v>316</v>
      </c>
      <c r="C24" s="237"/>
    </row>
    <row r="25" spans="1:3" s="211" customFormat="1" ht="25.5" x14ac:dyDescent="0.25">
      <c r="A25" s="228">
        <v>20</v>
      </c>
      <c r="B25" s="240" t="s">
        <v>317</v>
      </c>
      <c r="C25" s="237"/>
    </row>
    <row r="26" spans="1:3" s="211" customFormat="1" ht="25.5" x14ac:dyDescent="0.25">
      <c r="A26" s="228">
        <v>21</v>
      </c>
      <c r="B26" s="240" t="s">
        <v>318</v>
      </c>
      <c r="C26" s="237"/>
    </row>
    <row r="27" spans="1:3" s="211" customFormat="1" ht="25.5" x14ac:dyDescent="0.25">
      <c r="A27" s="228">
        <v>22</v>
      </c>
      <c r="B27" s="240" t="s">
        <v>319</v>
      </c>
      <c r="C27" s="237"/>
    </row>
    <row r="28" spans="1:3" s="211" customFormat="1" x14ac:dyDescent="0.25">
      <c r="A28" s="228">
        <v>23</v>
      </c>
      <c r="B28" s="242" t="s">
        <v>41</v>
      </c>
      <c r="C28" s="235">
        <f>C6-C12</f>
        <v>47669109.719999999</v>
      </c>
    </row>
    <row r="29" spans="1:3" s="211" customFormat="1" x14ac:dyDescent="0.25">
      <c r="A29" s="243"/>
      <c r="B29" s="244"/>
      <c r="C29" s="237"/>
    </row>
    <row r="30" spans="1:3" s="211" customFormat="1" x14ac:dyDescent="0.25">
      <c r="A30" s="243">
        <v>24</v>
      </c>
      <c r="B30" s="242" t="s">
        <v>320</v>
      </c>
      <c r="C30" s="235">
        <f>C31+C34</f>
        <v>0</v>
      </c>
    </row>
    <row r="31" spans="1:3" s="211" customFormat="1" x14ac:dyDescent="0.25">
      <c r="A31" s="243">
        <v>25</v>
      </c>
      <c r="B31" s="233" t="s">
        <v>321</v>
      </c>
      <c r="C31" s="245">
        <f>C32+C33</f>
        <v>0</v>
      </c>
    </row>
    <row r="32" spans="1:3" s="211" customFormat="1" x14ac:dyDescent="0.25">
      <c r="A32" s="243">
        <v>26</v>
      </c>
      <c r="B32" s="246" t="s">
        <v>322</v>
      </c>
      <c r="C32" s="237"/>
    </row>
    <row r="33" spans="1:3" s="211" customFormat="1" x14ac:dyDescent="0.25">
      <c r="A33" s="243">
        <v>27</v>
      </c>
      <c r="B33" s="246" t="s">
        <v>323</v>
      </c>
      <c r="C33" s="237"/>
    </row>
    <row r="34" spans="1:3" s="211" customFormat="1" x14ac:dyDescent="0.25">
      <c r="A34" s="243">
        <v>28</v>
      </c>
      <c r="B34" s="233" t="s">
        <v>324</v>
      </c>
      <c r="C34" s="237"/>
    </row>
    <row r="35" spans="1:3" s="211" customFormat="1" x14ac:dyDescent="0.25">
      <c r="A35" s="243">
        <v>29</v>
      </c>
      <c r="B35" s="242" t="s">
        <v>325</v>
      </c>
      <c r="C35" s="235">
        <f>SUM(C36:C40)</f>
        <v>0</v>
      </c>
    </row>
    <row r="36" spans="1:3" s="211" customFormat="1" x14ac:dyDescent="0.25">
      <c r="A36" s="243">
        <v>30</v>
      </c>
      <c r="B36" s="238" t="s">
        <v>326</v>
      </c>
      <c r="C36" s="237"/>
    </row>
    <row r="37" spans="1:3" s="211" customFormat="1" x14ac:dyDescent="0.25">
      <c r="A37" s="243">
        <v>31</v>
      </c>
      <c r="B37" s="239" t="s">
        <v>327</v>
      </c>
      <c r="C37" s="237"/>
    </row>
    <row r="38" spans="1:3" s="211" customFormat="1" ht="25.5" x14ac:dyDescent="0.25">
      <c r="A38" s="243">
        <v>32</v>
      </c>
      <c r="B38" s="238" t="s">
        <v>328</v>
      </c>
      <c r="C38" s="237"/>
    </row>
    <row r="39" spans="1:3" s="211" customFormat="1" ht="25.5" x14ac:dyDescent="0.25">
      <c r="A39" s="243">
        <v>33</v>
      </c>
      <c r="B39" s="238" t="s">
        <v>316</v>
      </c>
      <c r="C39" s="237"/>
    </row>
    <row r="40" spans="1:3" s="211" customFormat="1" ht="25.5" x14ac:dyDescent="0.25">
      <c r="A40" s="243">
        <v>34</v>
      </c>
      <c r="B40" s="240" t="s">
        <v>329</v>
      </c>
      <c r="C40" s="237"/>
    </row>
    <row r="41" spans="1:3" s="211" customFormat="1" x14ac:dyDescent="0.25">
      <c r="A41" s="243">
        <v>35</v>
      </c>
      <c r="B41" s="242" t="s">
        <v>330</v>
      </c>
      <c r="C41" s="235">
        <f>C30-C35</f>
        <v>0</v>
      </c>
    </row>
    <row r="42" spans="1:3" s="211" customFormat="1" x14ac:dyDescent="0.25">
      <c r="A42" s="243"/>
      <c r="B42" s="244"/>
      <c r="C42" s="237"/>
    </row>
    <row r="43" spans="1:3" s="211" customFormat="1" x14ac:dyDescent="0.25">
      <c r="A43" s="243">
        <v>36</v>
      </c>
      <c r="B43" s="247" t="s">
        <v>331</v>
      </c>
      <c r="C43" s="235">
        <f>SUM(C44:C46)</f>
        <v>2875699.83</v>
      </c>
    </row>
    <row r="44" spans="1:3" s="211" customFormat="1" x14ac:dyDescent="0.25">
      <c r="A44" s="243">
        <v>37</v>
      </c>
      <c r="B44" s="233" t="s">
        <v>332</v>
      </c>
      <c r="C44" s="237">
        <f>'2. RC'!C30</f>
        <v>2500000</v>
      </c>
    </row>
    <row r="45" spans="1:3" s="211" customFormat="1" x14ac:dyDescent="0.25">
      <c r="A45" s="243">
        <v>38</v>
      </c>
      <c r="B45" s="233" t="s">
        <v>333</v>
      </c>
      <c r="C45" s="237"/>
    </row>
    <row r="46" spans="1:3" s="211" customFormat="1" x14ac:dyDescent="0.25">
      <c r="A46" s="243">
        <v>39</v>
      </c>
      <c r="B46" s="233" t="s">
        <v>334</v>
      </c>
      <c r="C46" s="237">
        <v>375699.83</v>
      </c>
    </row>
    <row r="47" spans="1:3" s="211" customFormat="1" x14ac:dyDescent="0.25">
      <c r="A47" s="243">
        <v>40</v>
      </c>
      <c r="B47" s="247" t="s">
        <v>335</v>
      </c>
      <c r="C47" s="235">
        <f>SUM(C48:C51)</f>
        <v>0</v>
      </c>
    </row>
    <row r="48" spans="1:3" s="211" customFormat="1" x14ac:dyDescent="0.25">
      <c r="A48" s="243">
        <v>41</v>
      </c>
      <c r="B48" s="238" t="s">
        <v>336</v>
      </c>
      <c r="C48" s="237"/>
    </row>
    <row r="49" spans="1:3" s="211" customFormat="1" x14ac:dyDescent="0.25">
      <c r="A49" s="243">
        <v>42</v>
      </c>
      <c r="B49" s="239" t="s">
        <v>337</v>
      </c>
      <c r="C49" s="237"/>
    </row>
    <row r="50" spans="1:3" s="211" customFormat="1" ht="25.5" x14ac:dyDescent="0.25">
      <c r="A50" s="243">
        <v>43</v>
      </c>
      <c r="B50" s="238" t="s">
        <v>338</v>
      </c>
      <c r="C50" s="237"/>
    </row>
    <row r="51" spans="1:3" s="211" customFormat="1" ht="25.5" x14ac:dyDescent="0.25">
      <c r="A51" s="243">
        <v>44</v>
      </c>
      <c r="B51" s="238" t="s">
        <v>316</v>
      </c>
      <c r="C51" s="237"/>
    </row>
    <row r="52" spans="1:3" s="211" customFormat="1" ht="15.75" thickBot="1" x14ac:dyDescent="0.3">
      <c r="A52" s="248">
        <v>45</v>
      </c>
      <c r="B52" s="249" t="s">
        <v>339</v>
      </c>
      <c r="C52" s="250">
        <f>C43-C47</f>
        <v>2875699.83</v>
      </c>
    </row>
    <row r="54" spans="1:3" x14ac:dyDescent="0.25">
      <c r="C54" s="84"/>
    </row>
    <row r="55" spans="1:3" x14ac:dyDescent="0.25">
      <c r="B55" s="17" t="s">
        <v>340</v>
      </c>
    </row>
    <row r="56" spans="1:3" s="49" customFormat="1" x14ac:dyDescent="0.25">
      <c r="A56" s="220"/>
      <c r="B56" s="220"/>
      <c r="C56" s="251"/>
    </row>
  </sheetData>
  <dataValidations count="1">
    <dataValidation operator="lessThanOrEqual" allowBlank="1" showInputMessage="1" showErrorMessage="1" errorTitle="Should be negative number" error="Should be whole negative number or 0" sqref="C13:C52" xr:uid="{39DA7A99-3E91-4406-8F54-876FB99C6DE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DFDAA-0015-4471-B2B7-1F332778A405}">
  <dimension ref="A1:D21"/>
  <sheetViews>
    <sheetView workbookViewId="0">
      <selection activeCell="C19" sqref="C19:D21"/>
    </sheetView>
  </sheetViews>
  <sheetFormatPr defaultColWidth="9.140625" defaultRowHeight="12.75" x14ac:dyDescent="0.2"/>
  <cols>
    <col min="1" max="1" width="10.85546875" style="17" bestFit="1" customWidth="1"/>
    <col min="2" max="2" width="59" style="17" customWidth="1"/>
    <col min="3" max="3" width="16.7109375" style="17" bestFit="1" customWidth="1"/>
    <col min="4" max="4" width="22.140625" style="17" customWidth="1"/>
    <col min="5" max="16384" width="9.140625" style="17"/>
  </cols>
  <sheetData>
    <row r="1" spans="1:4" ht="15" x14ac:dyDescent="0.3">
      <c r="A1" s="18" t="s">
        <v>30</v>
      </c>
      <c r="B1" s="136" t="s">
        <v>2</v>
      </c>
    </row>
    <row r="2" spans="1:4" s="18" customFormat="1" ht="15.75" customHeight="1" x14ac:dyDescent="0.3">
      <c r="A2" s="18" t="s">
        <v>31</v>
      </c>
      <c r="B2" s="177">
        <v>44742</v>
      </c>
    </row>
    <row r="3" spans="1:4" s="18" customFormat="1" ht="15.75" customHeight="1" x14ac:dyDescent="0.3"/>
    <row r="4" spans="1:4" ht="13.5" thickBot="1" x14ac:dyDescent="0.25">
      <c r="A4" s="17" t="s">
        <v>341</v>
      </c>
      <c r="B4" s="252" t="s">
        <v>22</v>
      </c>
    </row>
    <row r="5" spans="1:4" s="222" customFormat="1" x14ac:dyDescent="0.25">
      <c r="A5" s="651" t="s">
        <v>342</v>
      </c>
      <c r="B5" s="652"/>
      <c r="C5" s="253" t="s">
        <v>343</v>
      </c>
      <c r="D5" s="254" t="s">
        <v>344</v>
      </c>
    </row>
    <row r="6" spans="1:4" s="258" customFormat="1" x14ac:dyDescent="0.25">
      <c r="A6" s="255">
        <v>1</v>
      </c>
      <c r="B6" s="256" t="s">
        <v>345</v>
      </c>
      <c r="C6" s="256"/>
      <c r="D6" s="257"/>
    </row>
    <row r="7" spans="1:4" s="258" customFormat="1" x14ac:dyDescent="0.25">
      <c r="A7" s="259" t="s">
        <v>346</v>
      </c>
      <c r="B7" s="260" t="s">
        <v>347</v>
      </c>
      <c r="C7" s="261">
        <v>4.4999999999999998E-2</v>
      </c>
      <c r="D7" s="262">
        <v>2423390.2706588176</v>
      </c>
    </row>
    <row r="8" spans="1:4" s="258" customFormat="1" x14ac:dyDescent="0.25">
      <c r="A8" s="259" t="s">
        <v>348</v>
      </c>
      <c r="B8" s="260" t="s">
        <v>349</v>
      </c>
      <c r="C8" s="261">
        <v>0.06</v>
      </c>
      <c r="D8" s="262">
        <v>3231187.0275450898</v>
      </c>
    </row>
    <row r="9" spans="1:4" s="258" customFormat="1" x14ac:dyDescent="0.25">
      <c r="A9" s="259" t="s">
        <v>350</v>
      </c>
      <c r="B9" s="260" t="s">
        <v>351</v>
      </c>
      <c r="C9" s="261">
        <v>0.08</v>
      </c>
      <c r="D9" s="262">
        <v>4308249.3700601207</v>
      </c>
    </row>
    <row r="10" spans="1:4" s="258" customFormat="1" x14ac:dyDescent="0.25">
      <c r="A10" s="255" t="s">
        <v>352</v>
      </c>
      <c r="B10" s="256" t="s">
        <v>353</v>
      </c>
      <c r="C10" s="263"/>
      <c r="D10" s="264"/>
    </row>
    <row r="11" spans="1:4" s="269" customFormat="1" x14ac:dyDescent="0.25">
      <c r="A11" s="265" t="s">
        <v>354</v>
      </c>
      <c r="B11" s="266" t="s">
        <v>355</v>
      </c>
      <c r="C11" s="267">
        <v>0</v>
      </c>
      <c r="D11" s="268">
        <v>0</v>
      </c>
    </row>
    <row r="12" spans="1:4" s="269" customFormat="1" x14ac:dyDescent="0.25">
      <c r="A12" s="265" t="s">
        <v>356</v>
      </c>
      <c r="B12" s="266" t="s">
        <v>357</v>
      </c>
      <c r="C12" s="267">
        <v>0</v>
      </c>
      <c r="D12" s="268">
        <v>0</v>
      </c>
    </row>
    <row r="13" spans="1:4" s="269" customFormat="1" x14ac:dyDescent="0.25">
      <c r="A13" s="265" t="s">
        <v>358</v>
      </c>
      <c r="B13" s="266" t="s">
        <v>359</v>
      </c>
      <c r="C13" s="267">
        <v>0</v>
      </c>
      <c r="D13" s="268">
        <v>0</v>
      </c>
    </row>
    <row r="14" spans="1:4" s="258" customFormat="1" x14ac:dyDescent="0.25">
      <c r="A14" s="255" t="s">
        <v>360</v>
      </c>
      <c r="B14" s="256" t="s">
        <v>361</v>
      </c>
      <c r="C14" s="270"/>
      <c r="D14" s="264"/>
    </row>
    <row r="15" spans="1:4" s="258" customFormat="1" x14ac:dyDescent="0.25">
      <c r="A15" s="271" t="s">
        <v>362</v>
      </c>
      <c r="B15" s="266" t="s">
        <v>363</v>
      </c>
      <c r="C15" s="267">
        <v>5.1683477006177397E-2</v>
      </c>
      <c r="D15" s="268">
        <v>2783316.3406797564</v>
      </c>
    </row>
    <row r="16" spans="1:4" s="258" customFormat="1" x14ac:dyDescent="0.25">
      <c r="A16" s="271" t="s">
        <v>364</v>
      </c>
      <c r="B16" s="266" t="s">
        <v>365</v>
      </c>
      <c r="C16" s="267">
        <v>6.8915198971407451E-2</v>
      </c>
      <c r="D16" s="268">
        <v>3711298.2819516747</v>
      </c>
    </row>
    <row r="17" spans="1:4" s="258" customFormat="1" x14ac:dyDescent="0.25">
      <c r="A17" s="271" t="s">
        <v>366</v>
      </c>
      <c r="B17" s="266" t="s">
        <v>367</v>
      </c>
      <c r="C17" s="267">
        <v>0.15736155024103149</v>
      </c>
      <c r="D17" s="268">
        <v>8474409.9962200969</v>
      </c>
    </row>
    <row r="18" spans="1:4" s="222" customFormat="1" x14ac:dyDescent="0.25">
      <c r="A18" s="653" t="s">
        <v>368</v>
      </c>
      <c r="B18" s="654"/>
      <c r="C18" s="272" t="s">
        <v>343</v>
      </c>
      <c r="D18" s="273" t="s">
        <v>344</v>
      </c>
    </row>
    <row r="19" spans="1:4" s="258" customFormat="1" x14ac:dyDescent="0.25">
      <c r="A19" s="274">
        <v>4</v>
      </c>
      <c r="B19" s="266" t="s">
        <v>41</v>
      </c>
      <c r="C19" s="267">
        <v>9.6683477006177396E-2</v>
      </c>
      <c r="D19" s="262">
        <v>5206706.6113385735</v>
      </c>
    </row>
    <row r="20" spans="1:4" s="258" customFormat="1" x14ac:dyDescent="0.25">
      <c r="A20" s="274">
        <v>5</v>
      </c>
      <c r="B20" s="266" t="s">
        <v>42</v>
      </c>
      <c r="C20" s="267">
        <v>0.12891519897140746</v>
      </c>
      <c r="D20" s="262">
        <v>6942485.309496766</v>
      </c>
    </row>
    <row r="21" spans="1:4" s="258" customFormat="1" ht="13.5" thickBot="1" x14ac:dyDescent="0.3">
      <c r="A21" s="275" t="s">
        <v>369</v>
      </c>
      <c r="B21" s="276" t="s">
        <v>20</v>
      </c>
      <c r="C21" s="277">
        <v>0.2373615502410315</v>
      </c>
      <c r="D21" s="278">
        <v>12782659.366280219</v>
      </c>
    </row>
  </sheetData>
  <mergeCells count="2">
    <mergeCell ref="A5:B5"/>
    <mergeCell ref="A18:B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B133-1DAC-448A-B696-2253EA78D52F}">
  <dimension ref="A1:F49"/>
  <sheetViews>
    <sheetView zoomScale="80" zoomScaleNormal="80" workbookViewId="0">
      <pane xSplit="1" ySplit="5" topLeftCell="B12" activePane="bottomRight" state="frozen"/>
      <selection activeCell="B3" sqref="B3"/>
      <selection pane="topRight" activeCell="B3" sqref="B3"/>
      <selection pane="bottomLeft" activeCell="B3" sqref="B3"/>
      <selection pane="bottomRight" activeCell="C6" sqref="C6:C45"/>
    </sheetView>
  </sheetViews>
  <sheetFormatPr defaultRowHeight="15.75" x14ac:dyDescent="0.3"/>
  <cols>
    <col min="1" max="1" width="10.7109375" style="280" customWidth="1"/>
    <col min="2" max="2" width="79" style="280" customWidth="1"/>
    <col min="3" max="3" width="42.42578125" style="280" customWidth="1"/>
    <col min="4" max="4" width="32.28515625" style="280" customWidth="1"/>
    <col min="5" max="5" width="5.140625" bestFit="1" customWidth="1"/>
  </cols>
  <sheetData>
    <row r="1" spans="1:6" x14ac:dyDescent="0.3">
      <c r="A1" s="18" t="s">
        <v>30</v>
      </c>
      <c r="B1" s="279" t="s">
        <v>2</v>
      </c>
      <c r="E1" s="17"/>
      <c r="F1" s="17"/>
    </row>
    <row r="2" spans="1:6" s="18" customFormat="1" ht="15.75" customHeight="1" x14ac:dyDescent="0.3">
      <c r="A2" s="18" t="s">
        <v>31</v>
      </c>
      <c r="B2" s="21">
        <v>44742</v>
      </c>
    </row>
    <row r="3" spans="1:6" s="18" customFormat="1" ht="15.75" customHeight="1" x14ac:dyDescent="0.3">
      <c r="A3" s="281"/>
    </row>
    <row r="4" spans="1:6" s="18" customFormat="1" ht="15.75" customHeight="1" thickBot="1" x14ac:dyDescent="0.35">
      <c r="A4" s="18" t="s">
        <v>370</v>
      </c>
      <c r="B4" s="282" t="s">
        <v>23</v>
      </c>
      <c r="D4" s="283" t="s">
        <v>78</v>
      </c>
    </row>
    <row r="5" spans="1:6" ht="60" customHeight="1" x14ac:dyDescent="0.25">
      <c r="A5" s="284" t="s">
        <v>33</v>
      </c>
      <c r="B5" s="285" t="s">
        <v>279</v>
      </c>
      <c r="C5" s="286" t="s">
        <v>371</v>
      </c>
      <c r="D5" s="287" t="s">
        <v>372</v>
      </c>
    </row>
    <row r="6" spans="1:6" x14ac:dyDescent="0.3">
      <c r="A6" s="288">
        <v>1</v>
      </c>
      <c r="B6" s="289" t="s">
        <v>85</v>
      </c>
      <c r="C6" s="290">
        <f>'2. RC'!E7</f>
        <v>1580758.3599999999</v>
      </c>
      <c r="D6" s="291"/>
      <c r="E6" s="585"/>
    </row>
    <row r="7" spans="1:6" x14ac:dyDescent="0.3">
      <c r="A7" s="288">
        <v>2</v>
      </c>
      <c r="B7" s="292" t="s">
        <v>86</v>
      </c>
      <c r="C7" s="293">
        <f>'2. RC'!E8</f>
        <v>1885085.3800000001</v>
      </c>
      <c r="D7" s="294"/>
      <c r="E7" s="585"/>
    </row>
    <row r="8" spans="1:6" x14ac:dyDescent="0.3">
      <c r="A8" s="288">
        <v>3</v>
      </c>
      <c r="B8" s="292" t="s">
        <v>87</v>
      </c>
      <c r="C8" s="293">
        <f>'2. RC'!E9</f>
        <v>738085.99</v>
      </c>
      <c r="D8" s="294"/>
      <c r="E8" s="585"/>
    </row>
    <row r="9" spans="1:6" x14ac:dyDescent="0.3">
      <c r="A9" s="288">
        <v>4</v>
      </c>
      <c r="B9" s="292" t="s">
        <v>88</v>
      </c>
      <c r="C9" s="293">
        <v>0</v>
      </c>
      <c r="D9" s="294"/>
      <c r="E9" s="585"/>
    </row>
    <row r="10" spans="1:6" x14ac:dyDescent="0.3">
      <c r="A10" s="288">
        <v>5</v>
      </c>
      <c r="B10" s="292" t="s">
        <v>89</v>
      </c>
      <c r="C10" s="293">
        <f>'2. RC'!E11</f>
        <v>33776423.810000002</v>
      </c>
      <c r="D10" s="294"/>
      <c r="E10" s="585"/>
    </row>
    <row r="11" spans="1:6" ht="30" x14ac:dyDescent="0.3">
      <c r="A11" s="288">
        <v>5.0999999999999996</v>
      </c>
      <c r="B11" s="295" t="s">
        <v>373</v>
      </c>
      <c r="C11" s="293">
        <v>-100000</v>
      </c>
      <c r="D11" s="296" t="s">
        <v>374</v>
      </c>
      <c r="E11" s="585"/>
    </row>
    <row r="12" spans="1:6" x14ac:dyDescent="0.3">
      <c r="A12" s="288">
        <v>6.1</v>
      </c>
      <c r="B12" s="292" t="s">
        <v>90</v>
      </c>
      <c r="C12" s="297">
        <f>'2. RC'!E12</f>
        <v>16189240.49</v>
      </c>
      <c r="D12" s="298"/>
      <c r="E12" s="586"/>
    </row>
    <row r="13" spans="1:6" x14ac:dyDescent="0.3">
      <c r="A13" s="288">
        <v>6.2</v>
      </c>
      <c r="B13" s="299" t="s">
        <v>91</v>
      </c>
      <c r="C13" s="297">
        <f>'2. RC'!E13</f>
        <v>-1050414.8899999999</v>
      </c>
      <c r="D13" s="298"/>
      <c r="E13" s="586"/>
    </row>
    <row r="14" spans="1:6" x14ac:dyDescent="0.3">
      <c r="A14" s="288" t="s">
        <v>375</v>
      </c>
      <c r="B14" s="300" t="s">
        <v>376</v>
      </c>
      <c r="C14" s="297">
        <v>-275699.83</v>
      </c>
      <c r="D14" s="296" t="s">
        <v>374</v>
      </c>
      <c r="E14" s="587"/>
    </row>
    <row r="15" spans="1:6" x14ac:dyDescent="0.3">
      <c r="A15" s="288">
        <v>6</v>
      </c>
      <c r="B15" s="292" t="s">
        <v>92</v>
      </c>
      <c r="C15" s="301">
        <f>C12+C13</f>
        <v>15138825.6</v>
      </c>
      <c r="D15" s="301"/>
      <c r="E15" s="585"/>
    </row>
    <row r="16" spans="1:6" x14ac:dyDescent="0.3">
      <c r="A16" s="288">
        <v>7</v>
      </c>
      <c r="B16" s="292" t="s">
        <v>93</v>
      </c>
      <c r="C16" s="293">
        <f>'2. RC'!E15</f>
        <v>1110993.3999999999</v>
      </c>
      <c r="D16" s="294"/>
      <c r="E16" s="585"/>
    </row>
    <row r="17" spans="1:5" x14ac:dyDescent="0.3">
      <c r="A17" s="288">
        <v>8</v>
      </c>
      <c r="B17" s="292" t="s">
        <v>94</v>
      </c>
      <c r="C17" s="293">
        <f>'2. RC'!E16</f>
        <v>256968.93</v>
      </c>
      <c r="D17" s="294"/>
      <c r="E17" s="585"/>
    </row>
    <row r="18" spans="1:5" x14ac:dyDescent="0.3">
      <c r="A18" s="288">
        <v>9</v>
      </c>
      <c r="B18" s="292" t="s">
        <v>95</v>
      </c>
      <c r="C18" s="293">
        <v>20000</v>
      </c>
      <c r="D18" s="294"/>
      <c r="E18" s="585"/>
    </row>
    <row r="19" spans="1:5" x14ac:dyDescent="0.3">
      <c r="A19" s="288">
        <v>9.1</v>
      </c>
      <c r="B19" s="300" t="s">
        <v>377</v>
      </c>
      <c r="C19" s="297"/>
      <c r="D19" s="294"/>
      <c r="E19" s="585"/>
    </row>
    <row r="20" spans="1:5" x14ac:dyDescent="0.3">
      <c r="A20" s="288">
        <v>9.1999999999999993</v>
      </c>
      <c r="B20" s="300" t="s">
        <v>378</v>
      </c>
      <c r="C20" s="297"/>
      <c r="D20" s="294"/>
      <c r="E20" s="585"/>
    </row>
    <row r="21" spans="1:5" ht="27.6" customHeight="1" x14ac:dyDescent="0.3">
      <c r="A21" s="288">
        <v>9.3000000000000007</v>
      </c>
      <c r="B21" s="300" t="s">
        <v>379</v>
      </c>
      <c r="C21" s="297"/>
      <c r="D21" s="294"/>
      <c r="E21" s="585"/>
    </row>
    <row r="22" spans="1:5" x14ac:dyDescent="0.3">
      <c r="A22" s="288">
        <v>10</v>
      </c>
      <c r="B22" s="292" t="s">
        <v>96</v>
      </c>
      <c r="C22" s="293">
        <f>'2. RC'!E18</f>
        <v>16337553.759999994</v>
      </c>
      <c r="D22" s="294"/>
      <c r="E22" s="585"/>
    </row>
    <row r="23" spans="1:5" x14ac:dyDescent="0.3">
      <c r="A23" s="288">
        <v>10.1</v>
      </c>
      <c r="B23" s="300" t="s">
        <v>380</v>
      </c>
      <c r="C23" s="302">
        <f>'9. Capital'!C15</f>
        <v>306121.21999999997</v>
      </c>
      <c r="D23" s="296" t="s">
        <v>381</v>
      </c>
      <c r="E23" s="587">
        <f>'9. Capital'!C15-C23</f>
        <v>0</v>
      </c>
    </row>
    <row r="24" spans="1:5" x14ac:dyDescent="0.3">
      <c r="A24" s="288">
        <v>11</v>
      </c>
      <c r="B24" s="292" t="s">
        <v>97</v>
      </c>
      <c r="C24" s="293">
        <f>'2. RC'!E19</f>
        <v>3668804.21</v>
      </c>
      <c r="D24" s="294"/>
      <c r="E24" s="585"/>
    </row>
    <row r="25" spans="1:5" x14ac:dyDescent="0.3">
      <c r="A25" s="288">
        <v>12</v>
      </c>
      <c r="B25" s="303" t="s">
        <v>98</v>
      </c>
      <c r="C25" s="304">
        <f>SUM(C6:C10,C15:C18,C22,C24)</f>
        <v>74513499.439999998</v>
      </c>
      <c r="D25" s="305"/>
      <c r="E25" s="588"/>
    </row>
    <row r="26" spans="1:5" x14ac:dyDescent="0.3">
      <c r="A26" s="288">
        <v>13</v>
      </c>
      <c r="B26" s="292" t="s">
        <v>100</v>
      </c>
      <c r="C26" s="306">
        <f>'2. RC'!E22</f>
        <v>0</v>
      </c>
      <c r="D26" s="307"/>
      <c r="E26" s="585"/>
    </row>
    <row r="27" spans="1:5" x14ac:dyDescent="0.3">
      <c r="A27" s="288">
        <v>14</v>
      </c>
      <c r="B27" s="292" t="s">
        <v>101</v>
      </c>
      <c r="C27" s="306">
        <f>'2. RC'!E23</f>
        <v>4993994</v>
      </c>
      <c r="D27" s="294"/>
      <c r="E27" s="585"/>
    </row>
    <row r="28" spans="1:5" x14ac:dyDescent="0.3">
      <c r="A28" s="288">
        <v>15</v>
      </c>
      <c r="B28" s="292" t="s">
        <v>102</v>
      </c>
      <c r="C28" s="306">
        <f>'2. RC'!E24</f>
        <v>1294079.81</v>
      </c>
      <c r="D28" s="294"/>
      <c r="E28" s="585"/>
    </row>
    <row r="29" spans="1:5" x14ac:dyDescent="0.3">
      <c r="A29" s="288">
        <v>16</v>
      </c>
      <c r="B29" s="292" t="s">
        <v>103</v>
      </c>
      <c r="C29" s="306">
        <f>'2. RC'!E25</f>
        <v>2135259.21</v>
      </c>
      <c r="D29" s="294"/>
      <c r="E29" s="585"/>
    </row>
    <row r="30" spans="1:5" x14ac:dyDescent="0.3">
      <c r="A30" s="288">
        <v>17</v>
      </c>
      <c r="B30" s="292" t="s">
        <v>104</v>
      </c>
      <c r="C30" s="306">
        <v>0</v>
      </c>
      <c r="D30" s="294"/>
      <c r="E30" s="585"/>
    </row>
    <row r="31" spans="1:5" x14ac:dyDescent="0.3">
      <c r="A31" s="288">
        <v>18</v>
      </c>
      <c r="B31" s="292" t="s">
        <v>105</v>
      </c>
      <c r="C31" s="306">
        <f>'2. RC'!E27</f>
        <v>7500000</v>
      </c>
      <c r="D31" s="294"/>
      <c r="E31" s="585"/>
    </row>
    <row r="32" spans="1:5" x14ac:dyDescent="0.3">
      <c r="A32" s="288">
        <v>19</v>
      </c>
      <c r="B32" s="292" t="s">
        <v>106</v>
      </c>
      <c r="C32" s="306">
        <f>'2. RC'!E28</f>
        <v>325889.96000000002</v>
      </c>
      <c r="D32" s="294"/>
      <c r="E32" s="585"/>
    </row>
    <row r="33" spans="1:5" x14ac:dyDescent="0.3">
      <c r="A33" s="288">
        <v>20</v>
      </c>
      <c r="B33" s="292" t="s">
        <v>107</v>
      </c>
      <c r="C33" s="306">
        <f>'2. RC'!E29</f>
        <v>3827717.7700000005</v>
      </c>
      <c r="D33" s="294"/>
      <c r="E33" s="585"/>
    </row>
    <row r="34" spans="1:5" x14ac:dyDescent="0.3">
      <c r="A34" s="288">
        <v>20.100000000000001</v>
      </c>
      <c r="B34" s="308" t="s">
        <v>382</v>
      </c>
      <c r="C34" s="309">
        <v>-7085.78</v>
      </c>
      <c r="D34" s="310"/>
      <c r="E34" s="585"/>
    </row>
    <row r="35" spans="1:5" x14ac:dyDescent="0.3">
      <c r="A35" s="288">
        <v>21</v>
      </c>
      <c r="B35" s="311" t="s">
        <v>108</v>
      </c>
      <c r="C35" s="309">
        <f>'2. RC'!E30</f>
        <v>2500000</v>
      </c>
      <c r="D35" s="310"/>
      <c r="E35" s="585"/>
    </row>
    <row r="36" spans="1:5" x14ac:dyDescent="0.3">
      <c r="A36" s="288">
        <v>21.1</v>
      </c>
      <c r="B36" s="312" t="s">
        <v>383</v>
      </c>
      <c r="C36" s="313">
        <f>C35</f>
        <v>2500000</v>
      </c>
      <c r="D36" s="296" t="s">
        <v>384</v>
      </c>
      <c r="E36" s="585"/>
    </row>
    <row r="37" spans="1:5" x14ac:dyDescent="0.3">
      <c r="A37" s="288">
        <v>22</v>
      </c>
      <c r="B37" s="303" t="s">
        <v>109</v>
      </c>
      <c r="C37" s="304">
        <f>SUM(C26:C33,C35)</f>
        <v>22576940.75</v>
      </c>
      <c r="D37" s="305"/>
      <c r="E37" s="585"/>
    </row>
    <row r="38" spans="1:5" x14ac:dyDescent="0.3">
      <c r="A38" s="288">
        <v>23</v>
      </c>
      <c r="B38" s="311" t="s">
        <v>111</v>
      </c>
      <c r="C38" s="293">
        <f>'2. RC'!C33</f>
        <v>61146400</v>
      </c>
      <c r="D38" s="296" t="s">
        <v>385</v>
      </c>
      <c r="E38" s="587">
        <f>'9. Capital'!C7-C38</f>
        <v>0</v>
      </c>
    </row>
    <row r="39" spans="1:5" x14ac:dyDescent="0.3">
      <c r="A39" s="288">
        <v>24</v>
      </c>
      <c r="B39" s="311" t="s">
        <v>112</v>
      </c>
      <c r="C39" s="293"/>
      <c r="D39" s="294"/>
      <c r="E39" s="585"/>
    </row>
    <row r="40" spans="1:5" x14ac:dyDescent="0.3">
      <c r="A40" s="288">
        <v>25</v>
      </c>
      <c r="B40" s="311" t="s">
        <v>386</v>
      </c>
      <c r="C40" s="293"/>
      <c r="D40" s="294"/>
      <c r="E40" s="585"/>
    </row>
    <row r="41" spans="1:5" x14ac:dyDescent="0.3">
      <c r="A41" s="288">
        <v>26</v>
      </c>
      <c r="B41" s="311" t="s">
        <v>114</v>
      </c>
      <c r="C41" s="293"/>
      <c r="D41" s="294"/>
      <c r="E41" s="585"/>
    </row>
    <row r="42" spans="1:5" x14ac:dyDescent="0.3">
      <c r="A42" s="288">
        <v>27</v>
      </c>
      <c r="B42" s="311" t="s">
        <v>115</v>
      </c>
      <c r="C42" s="293"/>
      <c r="D42" s="294"/>
      <c r="E42" s="585"/>
    </row>
    <row r="43" spans="1:5" x14ac:dyDescent="0.3">
      <c r="A43" s="288">
        <v>28</v>
      </c>
      <c r="B43" s="311" t="s">
        <v>116</v>
      </c>
      <c r="C43" s="293">
        <f>'2. RC'!C38</f>
        <v>-13171169.060000001</v>
      </c>
      <c r="D43" s="296" t="s">
        <v>387</v>
      </c>
      <c r="E43" s="587">
        <f>'9. Capital'!C11-C43</f>
        <v>0</v>
      </c>
    </row>
    <row r="44" spans="1:5" x14ac:dyDescent="0.3">
      <c r="A44" s="288">
        <v>29</v>
      </c>
      <c r="B44" s="311" t="s">
        <v>305</v>
      </c>
      <c r="C44" s="293">
        <f>'2. RC'!C39</f>
        <v>3961327.54</v>
      </c>
      <c r="D44" s="296" t="s">
        <v>388</v>
      </c>
      <c r="E44" s="587">
        <f>'9. Capital'!C10-C44</f>
        <v>0</v>
      </c>
    </row>
    <row r="45" spans="1:5" ht="16.5" thickBot="1" x14ac:dyDescent="0.35">
      <c r="A45" s="314">
        <v>30</v>
      </c>
      <c r="B45" s="315" t="s">
        <v>118</v>
      </c>
      <c r="C45" s="316">
        <f>SUM(C38:C44)</f>
        <v>51936558.479999997</v>
      </c>
      <c r="D45" s="317"/>
      <c r="E45" s="588"/>
    </row>
    <row r="46" spans="1:5" x14ac:dyDescent="0.3">
      <c r="C46" s="318"/>
    </row>
    <row r="47" spans="1:5" s="321" customFormat="1" x14ac:dyDescent="0.3">
      <c r="A47" s="319"/>
      <c r="B47" s="319"/>
      <c r="C47" s="320"/>
      <c r="D47" s="319"/>
      <c r="E47"/>
    </row>
    <row r="48" spans="1:5" s="321" customFormat="1" x14ac:dyDescent="0.3">
      <c r="A48" s="319"/>
      <c r="B48" s="319"/>
      <c r="C48" s="320"/>
      <c r="D48" s="319"/>
    </row>
    <row r="49" spans="5:5" x14ac:dyDescent="0.3">
      <c r="E49" s="321"/>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14E1-EBCB-4BA2-99C3-C3FD0D659C47}">
  <dimension ref="A1:S24"/>
  <sheetViews>
    <sheetView zoomScale="70" zoomScaleNormal="70" workbookViewId="0">
      <pane xSplit="2" ySplit="7" topLeftCell="C8" activePane="bottomRight" state="frozen"/>
      <selection activeCell="B3" sqref="B3"/>
      <selection pane="topRight" activeCell="B3" sqref="B3"/>
      <selection pane="bottomLeft" activeCell="B3" sqref="B3"/>
      <selection pane="bottomRight" activeCell="S8" sqref="C8:S22"/>
    </sheetView>
  </sheetViews>
  <sheetFormatPr defaultColWidth="9.140625" defaultRowHeight="12.75" x14ac:dyDescent="0.2"/>
  <cols>
    <col min="1" max="1" width="8.28515625" style="17" customWidth="1"/>
    <col min="2" max="2" width="63.28515625" style="17" customWidth="1"/>
    <col min="3" max="3" width="13.7109375" style="17" bestFit="1" customWidth="1"/>
    <col min="4" max="4" width="13.42578125" style="17" bestFit="1" customWidth="1"/>
    <col min="5" max="5" width="12.7109375" style="17" bestFit="1" customWidth="1"/>
    <col min="6" max="6" width="13.42578125" style="17" bestFit="1" customWidth="1"/>
    <col min="7" max="7" width="12.5703125" style="17" customWidth="1"/>
    <col min="8" max="8" width="13.42578125" style="17" bestFit="1" customWidth="1"/>
    <col min="9" max="9" width="12.28515625" style="17" customWidth="1"/>
    <col min="10" max="10" width="13.42578125" style="17" bestFit="1" customWidth="1"/>
    <col min="11" max="11" width="9.5703125" style="17" bestFit="1" customWidth="1"/>
    <col min="12" max="12" width="13.42578125" style="17" bestFit="1" customWidth="1"/>
    <col min="13" max="13" width="13.7109375" style="17" bestFit="1" customWidth="1"/>
    <col min="14" max="14" width="13.42578125" style="17" bestFit="1" customWidth="1"/>
    <col min="15" max="15" width="12.7109375" style="17" bestFit="1" customWidth="1"/>
    <col min="16" max="16" width="13.42578125" style="17" bestFit="1" customWidth="1"/>
    <col min="17" max="17" width="9.5703125" style="17" bestFit="1" customWidth="1"/>
    <col min="18" max="18" width="13.42578125" style="17" bestFit="1" customWidth="1"/>
    <col min="19" max="19" width="31.7109375" style="17" bestFit="1" customWidth="1"/>
    <col min="20" max="16384" width="9.140625" style="88"/>
  </cols>
  <sheetData>
    <row r="1" spans="1:19" x14ac:dyDescent="0.2">
      <c r="A1" s="17" t="s">
        <v>30</v>
      </c>
      <c r="B1" s="17" t="s">
        <v>2</v>
      </c>
    </row>
    <row r="2" spans="1:19" x14ac:dyDescent="0.2">
      <c r="A2" s="17" t="s">
        <v>31</v>
      </c>
      <c r="B2" s="62">
        <v>44742</v>
      </c>
    </row>
    <row r="4" spans="1:19" ht="39" thickBot="1" x14ac:dyDescent="0.25">
      <c r="A4" s="222" t="s">
        <v>389</v>
      </c>
      <c r="B4" s="322" t="s">
        <v>390</v>
      </c>
    </row>
    <row r="5" spans="1:19" x14ac:dyDescent="0.2">
      <c r="A5" s="323"/>
      <c r="B5" s="324"/>
      <c r="C5" s="325" t="s">
        <v>276</v>
      </c>
      <c r="D5" s="325" t="s">
        <v>277</v>
      </c>
      <c r="E5" s="325" t="s">
        <v>278</v>
      </c>
      <c r="F5" s="325" t="s">
        <v>391</v>
      </c>
      <c r="G5" s="325" t="s">
        <v>392</v>
      </c>
      <c r="H5" s="325" t="s">
        <v>393</v>
      </c>
      <c r="I5" s="325" t="s">
        <v>394</v>
      </c>
      <c r="J5" s="325" t="s">
        <v>395</v>
      </c>
      <c r="K5" s="325" t="s">
        <v>396</v>
      </c>
      <c r="L5" s="325" t="s">
        <v>397</v>
      </c>
      <c r="M5" s="325" t="s">
        <v>398</v>
      </c>
      <c r="N5" s="325" t="s">
        <v>399</v>
      </c>
      <c r="O5" s="325" t="s">
        <v>400</v>
      </c>
      <c r="P5" s="325" t="s">
        <v>401</v>
      </c>
      <c r="Q5" s="325" t="s">
        <v>402</v>
      </c>
      <c r="R5" s="326" t="s">
        <v>403</v>
      </c>
      <c r="S5" s="327" t="s">
        <v>404</v>
      </c>
    </row>
    <row r="6" spans="1:19" ht="46.5" customHeight="1" x14ac:dyDescent="0.2">
      <c r="A6" s="328"/>
      <c r="B6" s="659" t="s">
        <v>405</v>
      </c>
      <c r="C6" s="655">
        <v>0</v>
      </c>
      <c r="D6" s="656"/>
      <c r="E6" s="655">
        <v>0.2</v>
      </c>
      <c r="F6" s="656"/>
      <c r="G6" s="655">
        <v>0.35</v>
      </c>
      <c r="H6" s="656"/>
      <c r="I6" s="655">
        <v>0.5</v>
      </c>
      <c r="J6" s="656"/>
      <c r="K6" s="655">
        <v>0.75</v>
      </c>
      <c r="L6" s="656"/>
      <c r="M6" s="655">
        <v>1</v>
      </c>
      <c r="N6" s="656"/>
      <c r="O6" s="655">
        <v>1.5</v>
      </c>
      <c r="P6" s="656"/>
      <c r="Q6" s="655">
        <v>2.5</v>
      </c>
      <c r="R6" s="656"/>
      <c r="S6" s="657" t="s">
        <v>406</v>
      </c>
    </row>
    <row r="7" spans="1:19" x14ac:dyDescent="0.2">
      <c r="A7" s="328"/>
      <c r="B7" s="660"/>
      <c r="C7" s="329" t="s">
        <v>407</v>
      </c>
      <c r="D7" s="329" t="s">
        <v>408</v>
      </c>
      <c r="E7" s="329" t="s">
        <v>407</v>
      </c>
      <c r="F7" s="329" t="s">
        <v>408</v>
      </c>
      <c r="G7" s="329" t="s">
        <v>407</v>
      </c>
      <c r="H7" s="329" t="s">
        <v>408</v>
      </c>
      <c r="I7" s="329" t="s">
        <v>407</v>
      </c>
      <c r="J7" s="329" t="s">
        <v>408</v>
      </c>
      <c r="K7" s="329" t="s">
        <v>407</v>
      </c>
      <c r="L7" s="329" t="s">
        <v>408</v>
      </c>
      <c r="M7" s="329" t="s">
        <v>407</v>
      </c>
      <c r="N7" s="329" t="s">
        <v>408</v>
      </c>
      <c r="O7" s="329" t="s">
        <v>407</v>
      </c>
      <c r="P7" s="329" t="s">
        <v>408</v>
      </c>
      <c r="Q7" s="329" t="s">
        <v>407</v>
      </c>
      <c r="R7" s="329" t="s">
        <v>408</v>
      </c>
      <c r="S7" s="658"/>
    </row>
    <row r="8" spans="1:19" ht="25.5" x14ac:dyDescent="0.2">
      <c r="A8" s="330">
        <v>1</v>
      </c>
      <c r="B8" s="238" t="s">
        <v>409</v>
      </c>
      <c r="C8" s="331">
        <v>30154252.699999999</v>
      </c>
      <c r="D8" s="331"/>
      <c r="E8" s="331">
        <v>0</v>
      </c>
      <c r="F8" s="332"/>
      <c r="G8" s="331">
        <v>0</v>
      </c>
      <c r="H8" s="331"/>
      <c r="I8" s="331">
        <v>0</v>
      </c>
      <c r="J8" s="331"/>
      <c r="K8" s="331">
        <v>0</v>
      </c>
      <c r="L8" s="331"/>
      <c r="M8" s="331">
        <v>1501517.1900000002</v>
      </c>
      <c r="N8" s="331"/>
      <c r="O8" s="331">
        <v>0</v>
      </c>
      <c r="P8" s="331"/>
      <c r="Q8" s="331">
        <v>0</v>
      </c>
      <c r="R8" s="332"/>
      <c r="S8" s="333">
        <f>$C$6*SUM(C8:D8)+$E$6*SUM(E8:F8)+$G$6*SUM(G8:H8)+$I$6*SUM(I8:J8)+$K$6*SUM(K8:L8)+$M$6*SUM(M8:N8)+$O$6*SUM(O8:P8)+$Q$6*SUM(Q8:R8)</f>
        <v>1501517.1900000002</v>
      </c>
    </row>
    <row r="9" spans="1:19" ht="25.5" x14ac:dyDescent="0.2">
      <c r="A9" s="330">
        <v>2</v>
      </c>
      <c r="B9" s="238" t="s">
        <v>410</v>
      </c>
      <c r="C9" s="331">
        <v>0</v>
      </c>
      <c r="D9" s="331"/>
      <c r="E9" s="331">
        <v>0</v>
      </c>
      <c r="F9" s="331"/>
      <c r="G9" s="331">
        <v>0</v>
      </c>
      <c r="H9" s="331"/>
      <c r="I9" s="331">
        <v>0</v>
      </c>
      <c r="J9" s="331"/>
      <c r="K9" s="331">
        <v>0</v>
      </c>
      <c r="L9" s="331"/>
      <c r="M9" s="331">
        <v>0</v>
      </c>
      <c r="N9" s="331"/>
      <c r="O9" s="331">
        <v>0</v>
      </c>
      <c r="P9" s="331"/>
      <c r="Q9" s="331">
        <v>0</v>
      </c>
      <c r="R9" s="332"/>
      <c r="S9" s="333">
        <f t="shared" ref="S9:S21" si="0">$C$6*SUM(C9:D9)+$E$6*SUM(E9:F9)+$G$6*SUM(G9:H9)+$I$6*SUM(I9:J9)+$K$6*SUM(K9:L9)+$M$6*SUM(M9:N9)+$O$6*SUM(O9:P9)+$Q$6*SUM(Q9:R9)</f>
        <v>0</v>
      </c>
    </row>
    <row r="10" spans="1:19" x14ac:dyDescent="0.2">
      <c r="A10" s="330">
        <v>3</v>
      </c>
      <c r="B10" s="238" t="s">
        <v>411</v>
      </c>
      <c r="C10" s="331">
        <v>0</v>
      </c>
      <c r="D10" s="331"/>
      <c r="E10" s="331">
        <v>0</v>
      </c>
      <c r="F10" s="331"/>
      <c r="G10" s="331">
        <v>0</v>
      </c>
      <c r="H10" s="331"/>
      <c r="I10" s="331">
        <v>0</v>
      </c>
      <c r="J10" s="331"/>
      <c r="K10" s="331">
        <v>0</v>
      </c>
      <c r="L10" s="331"/>
      <c r="M10" s="331">
        <v>0</v>
      </c>
      <c r="N10" s="331"/>
      <c r="O10" s="331">
        <v>0</v>
      </c>
      <c r="P10" s="331"/>
      <c r="Q10" s="331">
        <v>0</v>
      </c>
      <c r="R10" s="332"/>
      <c r="S10" s="333">
        <f t="shared" si="0"/>
        <v>0</v>
      </c>
    </row>
    <row r="11" spans="1:19" ht="25.5" x14ac:dyDescent="0.2">
      <c r="A11" s="330">
        <v>4</v>
      </c>
      <c r="B11" s="238" t="s">
        <v>412</v>
      </c>
      <c r="C11" s="331">
        <v>0</v>
      </c>
      <c r="D11" s="331"/>
      <c r="E11" s="331">
        <v>0</v>
      </c>
      <c r="F11" s="331"/>
      <c r="G11" s="331">
        <v>0</v>
      </c>
      <c r="H11" s="331"/>
      <c r="I11" s="331">
        <v>0</v>
      </c>
      <c r="J11" s="331"/>
      <c r="K11" s="331">
        <v>0</v>
      </c>
      <c r="L11" s="331"/>
      <c r="M11" s="331">
        <v>0</v>
      </c>
      <c r="N11" s="331"/>
      <c r="O11" s="331">
        <v>0</v>
      </c>
      <c r="P11" s="331"/>
      <c r="Q11" s="331">
        <v>0</v>
      </c>
      <c r="R11" s="332"/>
      <c r="S11" s="333">
        <f t="shared" si="0"/>
        <v>0</v>
      </c>
    </row>
    <row r="12" spans="1:19" ht="25.5" x14ac:dyDescent="0.2">
      <c r="A12" s="330">
        <v>5</v>
      </c>
      <c r="B12" s="238" t="s">
        <v>413</v>
      </c>
      <c r="C12" s="331">
        <v>0</v>
      </c>
      <c r="D12" s="331"/>
      <c r="E12" s="331">
        <v>0</v>
      </c>
      <c r="F12" s="331"/>
      <c r="G12" s="331">
        <v>0</v>
      </c>
      <c r="H12" s="331"/>
      <c r="I12" s="331">
        <v>0</v>
      </c>
      <c r="J12" s="331"/>
      <c r="K12" s="331">
        <v>0</v>
      </c>
      <c r="L12" s="331"/>
      <c r="M12" s="331">
        <v>0</v>
      </c>
      <c r="N12" s="331"/>
      <c r="O12" s="331">
        <v>0</v>
      </c>
      <c r="P12" s="331"/>
      <c r="Q12" s="331">
        <v>0</v>
      </c>
      <c r="R12" s="332"/>
      <c r="S12" s="333">
        <f t="shared" si="0"/>
        <v>0</v>
      </c>
    </row>
    <row r="13" spans="1:19" x14ac:dyDescent="0.2">
      <c r="A13" s="330">
        <v>6</v>
      </c>
      <c r="B13" s="238" t="s">
        <v>414</v>
      </c>
      <c r="C13" s="331">
        <v>0</v>
      </c>
      <c r="D13" s="331"/>
      <c r="E13" s="331">
        <v>218319.1</v>
      </c>
      <c r="F13" s="331"/>
      <c r="G13" s="331">
        <v>0</v>
      </c>
      <c r="H13" s="331"/>
      <c r="I13" s="331">
        <v>0</v>
      </c>
      <c r="J13" s="331"/>
      <c r="K13" s="331">
        <v>0</v>
      </c>
      <c r="L13" s="331"/>
      <c r="M13" s="331">
        <v>519825.29</v>
      </c>
      <c r="N13" s="331"/>
      <c r="O13" s="331">
        <v>0</v>
      </c>
      <c r="P13" s="331"/>
      <c r="Q13" s="331">
        <v>0</v>
      </c>
      <c r="R13" s="332"/>
      <c r="S13" s="333">
        <f t="shared" si="0"/>
        <v>563489.11</v>
      </c>
    </row>
    <row r="14" spans="1:19" ht="25.5" x14ac:dyDescent="0.2">
      <c r="A14" s="330">
        <v>7</v>
      </c>
      <c r="B14" s="238" t="s">
        <v>415</v>
      </c>
      <c r="C14" s="331">
        <v>0</v>
      </c>
      <c r="D14" s="331"/>
      <c r="E14" s="331">
        <v>0</v>
      </c>
      <c r="F14" s="331"/>
      <c r="G14" s="331">
        <v>0</v>
      </c>
      <c r="H14" s="331"/>
      <c r="I14" s="331">
        <v>0</v>
      </c>
      <c r="J14" s="331"/>
      <c r="K14" s="331">
        <v>0</v>
      </c>
      <c r="L14" s="331"/>
      <c r="M14" s="331">
        <v>9531614.5</v>
      </c>
      <c r="N14" s="331">
        <v>1318789</v>
      </c>
      <c r="O14" s="331">
        <v>0</v>
      </c>
      <c r="P14" s="331"/>
      <c r="Q14" s="331">
        <v>0</v>
      </c>
      <c r="R14" s="332"/>
      <c r="S14" s="333">
        <f t="shared" si="0"/>
        <v>10850403.5</v>
      </c>
    </row>
    <row r="15" spans="1:19" x14ac:dyDescent="0.2">
      <c r="A15" s="330">
        <v>8</v>
      </c>
      <c r="B15" s="238" t="s">
        <v>416</v>
      </c>
      <c r="C15" s="331">
        <v>0</v>
      </c>
      <c r="D15" s="331"/>
      <c r="E15" s="331">
        <v>0</v>
      </c>
      <c r="F15" s="331"/>
      <c r="G15" s="331">
        <v>0</v>
      </c>
      <c r="H15" s="331"/>
      <c r="I15" s="331">
        <v>0</v>
      </c>
      <c r="J15" s="331"/>
      <c r="K15" s="331">
        <v>0</v>
      </c>
      <c r="L15" s="331"/>
      <c r="M15" s="331">
        <v>5257955.8900000006</v>
      </c>
      <c r="N15" s="331"/>
      <c r="O15" s="331">
        <v>0</v>
      </c>
      <c r="P15" s="331"/>
      <c r="Q15" s="331">
        <v>0</v>
      </c>
      <c r="R15" s="332"/>
      <c r="S15" s="333">
        <f t="shared" si="0"/>
        <v>5257955.8900000006</v>
      </c>
    </row>
    <row r="16" spans="1:19" ht="25.5" x14ac:dyDescent="0.2">
      <c r="A16" s="330">
        <v>9</v>
      </c>
      <c r="B16" s="238" t="s">
        <v>417</v>
      </c>
      <c r="C16" s="331">
        <v>0</v>
      </c>
      <c r="D16" s="331"/>
      <c r="E16" s="331">
        <v>0</v>
      </c>
      <c r="F16" s="331"/>
      <c r="G16" s="331">
        <v>0</v>
      </c>
      <c r="H16" s="331"/>
      <c r="I16" s="331">
        <v>0</v>
      </c>
      <c r="J16" s="331"/>
      <c r="K16" s="331">
        <v>0</v>
      </c>
      <c r="L16" s="331"/>
      <c r="M16" s="331">
        <v>0</v>
      </c>
      <c r="N16" s="331"/>
      <c r="O16" s="331">
        <v>0</v>
      </c>
      <c r="P16" s="331"/>
      <c r="Q16" s="331">
        <v>0</v>
      </c>
      <c r="R16" s="332"/>
      <c r="S16" s="333">
        <f t="shared" si="0"/>
        <v>0</v>
      </c>
    </row>
    <row r="17" spans="1:19" x14ac:dyDescent="0.2">
      <c r="A17" s="330">
        <v>10</v>
      </c>
      <c r="B17" s="238" t="s">
        <v>418</v>
      </c>
      <c r="C17" s="331">
        <v>0</v>
      </c>
      <c r="D17" s="331"/>
      <c r="E17" s="331">
        <v>0</v>
      </c>
      <c r="F17" s="331"/>
      <c r="G17" s="331">
        <v>0</v>
      </c>
      <c r="H17" s="331"/>
      <c r="I17" s="331">
        <v>0</v>
      </c>
      <c r="J17" s="331"/>
      <c r="K17" s="331">
        <v>0</v>
      </c>
      <c r="L17" s="331"/>
      <c r="M17" s="331">
        <v>701174.91999999993</v>
      </c>
      <c r="N17" s="331"/>
      <c r="O17" s="331">
        <v>0</v>
      </c>
      <c r="P17" s="331"/>
      <c r="Q17" s="331">
        <v>0</v>
      </c>
      <c r="R17" s="332"/>
      <c r="S17" s="333">
        <f t="shared" si="0"/>
        <v>701174.91999999993</v>
      </c>
    </row>
    <row r="18" spans="1:19" x14ac:dyDescent="0.2">
      <c r="A18" s="330">
        <v>11</v>
      </c>
      <c r="B18" s="238" t="s">
        <v>419</v>
      </c>
      <c r="C18" s="331">
        <v>0</v>
      </c>
      <c r="D18" s="331"/>
      <c r="E18" s="331">
        <v>0</v>
      </c>
      <c r="F18" s="331"/>
      <c r="G18" s="331">
        <v>0</v>
      </c>
      <c r="H18" s="331"/>
      <c r="I18" s="331">
        <v>0</v>
      </c>
      <c r="J18" s="331"/>
      <c r="K18" s="331">
        <v>0</v>
      </c>
      <c r="L18" s="331"/>
      <c r="M18" s="331">
        <v>0</v>
      </c>
      <c r="N18" s="331"/>
      <c r="O18" s="331">
        <v>68580.840000000026</v>
      </c>
      <c r="P18" s="331"/>
      <c r="Q18" s="331">
        <v>0</v>
      </c>
      <c r="R18" s="332"/>
      <c r="S18" s="333">
        <f t="shared" si="0"/>
        <v>102871.26000000004</v>
      </c>
    </row>
    <row r="19" spans="1:19" x14ac:dyDescent="0.2">
      <c r="A19" s="330">
        <v>12</v>
      </c>
      <c r="B19" s="238" t="s">
        <v>420</v>
      </c>
      <c r="C19" s="331">
        <v>0</v>
      </c>
      <c r="D19" s="331"/>
      <c r="E19" s="331">
        <v>0</v>
      </c>
      <c r="F19" s="331"/>
      <c r="G19" s="331">
        <v>0</v>
      </c>
      <c r="H19" s="331"/>
      <c r="I19" s="331">
        <v>0</v>
      </c>
      <c r="J19" s="331"/>
      <c r="K19" s="331">
        <v>0</v>
      </c>
      <c r="L19" s="331"/>
      <c r="M19" s="331">
        <v>0</v>
      </c>
      <c r="N19" s="331"/>
      <c r="O19" s="331">
        <v>0</v>
      </c>
      <c r="P19" s="331"/>
      <c r="Q19" s="331">
        <v>0</v>
      </c>
      <c r="R19" s="332"/>
      <c r="S19" s="333">
        <f t="shared" si="0"/>
        <v>0</v>
      </c>
    </row>
    <row r="20" spans="1:19" x14ac:dyDescent="0.2">
      <c r="A20" s="330">
        <v>13</v>
      </c>
      <c r="B20" s="238" t="s">
        <v>421</v>
      </c>
      <c r="C20" s="331">
        <v>0</v>
      </c>
      <c r="D20" s="331"/>
      <c r="E20" s="331">
        <v>0</v>
      </c>
      <c r="F20" s="331"/>
      <c r="G20" s="331">
        <v>0</v>
      </c>
      <c r="H20" s="331"/>
      <c r="I20" s="331">
        <v>0</v>
      </c>
      <c r="J20" s="331"/>
      <c r="K20" s="331">
        <v>0</v>
      </c>
      <c r="L20" s="331"/>
      <c r="M20" s="331">
        <v>0</v>
      </c>
      <c r="N20" s="331"/>
      <c r="O20" s="331">
        <v>0</v>
      </c>
      <c r="P20" s="331"/>
      <c r="Q20" s="331">
        <v>0</v>
      </c>
      <c r="R20" s="332"/>
      <c r="S20" s="333">
        <f t="shared" si="0"/>
        <v>0</v>
      </c>
    </row>
    <row r="21" spans="1:19" x14ac:dyDescent="0.2">
      <c r="A21" s="330">
        <v>14</v>
      </c>
      <c r="B21" s="238" t="s">
        <v>422</v>
      </c>
      <c r="C21" s="331">
        <v>1454781.93</v>
      </c>
      <c r="D21" s="331"/>
      <c r="E21" s="331">
        <v>125976.43</v>
      </c>
      <c r="F21" s="331"/>
      <c r="G21" s="331">
        <v>0</v>
      </c>
      <c r="H21" s="331"/>
      <c r="I21" s="331">
        <v>0</v>
      </c>
      <c r="J21" s="331"/>
      <c r="K21" s="331">
        <v>0</v>
      </c>
      <c r="L21" s="331"/>
      <c r="M21" s="331">
        <v>25049078.259999994</v>
      </c>
      <c r="N21" s="331"/>
      <c r="O21" s="331">
        <v>0</v>
      </c>
      <c r="P21" s="331"/>
      <c r="Q21" s="331">
        <v>0</v>
      </c>
      <c r="R21" s="332"/>
      <c r="S21" s="333">
        <f t="shared" si="0"/>
        <v>25074273.545999993</v>
      </c>
    </row>
    <row r="22" spans="1:19" ht="13.5" thickBot="1" x14ac:dyDescent="0.25">
      <c r="A22" s="334"/>
      <c r="B22" s="335" t="s">
        <v>84</v>
      </c>
      <c r="C22" s="336">
        <f>SUM(C8:C21)</f>
        <v>31609034.629999999</v>
      </c>
      <c r="D22" s="336">
        <f t="shared" ref="D22:S22" si="1">SUM(D8:D21)</f>
        <v>0</v>
      </c>
      <c r="E22" s="336">
        <f t="shared" si="1"/>
        <v>344295.53</v>
      </c>
      <c r="F22" s="336">
        <f t="shared" si="1"/>
        <v>0</v>
      </c>
      <c r="G22" s="336">
        <f t="shared" si="1"/>
        <v>0</v>
      </c>
      <c r="H22" s="336">
        <f t="shared" si="1"/>
        <v>0</v>
      </c>
      <c r="I22" s="336">
        <f t="shared" si="1"/>
        <v>0</v>
      </c>
      <c r="J22" s="336">
        <f t="shared" si="1"/>
        <v>0</v>
      </c>
      <c r="K22" s="336">
        <f t="shared" si="1"/>
        <v>0</v>
      </c>
      <c r="L22" s="336">
        <f t="shared" si="1"/>
        <v>0</v>
      </c>
      <c r="M22" s="336">
        <f t="shared" si="1"/>
        <v>42561166.049999997</v>
      </c>
      <c r="N22" s="336">
        <f t="shared" si="1"/>
        <v>1318789</v>
      </c>
      <c r="O22" s="336">
        <f t="shared" si="1"/>
        <v>68580.840000000026</v>
      </c>
      <c r="P22" s="336">
        <f t="shared" si="1"/>
        <v>0</v>
      </c>
      <c r="Q22" s="336">
        <f t="shared" si="1"/>
        <v>0</v>
      </c>
      <c r="R22" s="336">
        <f t="shared" si="1"/>
        <v>0</v>
      </c>
      <c r="S22" s="336">
        <f t="shared" si="1"/>
        <v>44051685.415999994</v>
      </c>
    </row>
    <row r="24" spans="1:19" s="340" customFormat="1" x14ac:dyDescent="0.2">
      <c r="A24" s="337"/>
      <c r="B24" s="220"/>
      <c r="C24" s="338"/>
      <c r="D24" s="220"/>
      <c r="E24" s="338"/>
      <c r="F24" s="220"/>
      <c r="G24" s="338"/>
      <c r="H24" s="220"/>
      <c r="I24" s="338"/>
      <c r="J24" s="220"/>
      <c r="K24" s="338"/>
      <c r="L24" s="220"/>
      <c r="M24" s="338"/>
      <c r="N24" s="339"/>
      <c r="O24" s="338"/>
      <c r="P24" s="220"/>
      <c r="Q24" s="220"/>
      <c r="R24" s="220"/>
      <c r="S24" s="338"/>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6293E-7101-41C1-9DD7-122F16D16741}">
  <dimension ref="A1:V28"/>
  <sheetViews>
    <sheetView zoomScale="70" zoomScaleNormal="70" workbookViewId="0">
      <pane xSplit="2" ySplit="6" topLeftCell="C7" activePane="bottomRight" state="frozen"/>
      <selection activeCell="B3" sqref="B3"/>
      <selection pane="topRight" activeCell="B3" sqref="B3"/>
      <selection pane="bottomLeft" activeCell="B3" sqref="B3"/>
      <selection pane="bottomRight" activeCell="B3" sqref="B3"/>
    </sheetView>
  </sheetViews>
  <sheetFormatPr defaultColWidth="9.140625" defaultRowHeight="12.75" x14ac:dyDescent="0.2"/>
  <cols>
    <col min="1" max="1" width="11.28515625" style="17" customWidth="1"/>
    <col min="2" max="2" width="64.7109375" style="17" customWidth="1"/>
    <col min="3" max="3" width="19" style="17" customWidth="1"/>
    <col min="4" max="4" width="19.5703125" style="17" customWidth="1"/>
    <col min="5" max="5" width="31.140625" style="17" customWidth="1"/>
    <col min="6" max="6" width="29.140625" style="17" customWidth="1"/>
    <col min="7" max="7" width="28.5703125" style="17" customWidth="1"/>
    <col min="8" max="8" width="26.42578125" style="17" customWidth="1"/>
    <col min="9" max="9" width="23.7109375" style="17" customWidth="1"/>
    <col min="10" max="10" width="21.5703125" style="17" customWidth="1"/>
    <col min="11" max="11" width="15.7109375" style="17" customWidth="1"/>
    <col min="12" max="12" width="13.28515625" style="17" customWidth="1"/>
    <col min="13" max="13" width="20.85546875" style="17" customWidth="1"/>
    <col min="14" max="14" width="19.28515625" style="17" customWidth="1"/>
    <col min="15" max="15" width="18.42578125" style="17" customWidth="1"/>
    <col min="16" max="16" width="19" style="17" customWidth="1"/>
    <col min="17" max="17" width="20.28515625" style="17" customWidth="1"/>
    <col min="18" max="18" width="18" style="17" customWidth="1"/>
    <col min="19" max="19" width="36" style="17" customWidth="1"/>
    <col min="20" max="20" width="19.42578125" style="17" customWidth="1"/>
    <col min="21" max="21" width="19.140625" style="17" customWidth="1"/>
    <col min="22" max="22" width="20" style="17" customWidth="1"/>
    <col min="23" max="16384" width="9.140625" style="88"/>
  </cols>
  <sheetData>
    <row r="1" spans="1:22" x14ac:dyDescent="0.2">
      <c r="A1" s="17" t="s">
        <v>30</v>
      </c>
      <c r="B1" s="17" t="s">
        <v>2</v>
      </c>
    </row>
    <row r="2" spans="1:22" x14ac:dyDescent="0.2">
      <c r="A2" s="17" t="s">
        <v>31</v>
      </c>
      <c r="B2" s="62">
        <v>44742</v>
      </c>
    </row>
    <row r="4" spans="1:22" ht="27.75" thickBot="1" x14ac:dyDescent="0.35">
      <c r="A4" s="17" t="s">
        <v>423</v>
      </c>
      <c r="B4" s="322" t="s">
        <v>424</v>
      </c>
      <c r="V4" s="283" t="s">
        <v>78</v>
      </c>
    </row>
    <row r="5" spans="1:22" x14ac:dyDescent="0.2">
      <c r="A5" s="341"/>
      <c r="B5" s="342"/>
      <c r="C5" s="661" t="s">
        <v>425</v>
      </c>
      <c r="D5" s="662"/>
      <c r="E5" s="662"/>
      <c r="F5" s="662"/>
      <c r="G5" s="662"/>
      <c r="H5" s="662"/>
      <c r="I5" s="662"/>
      <c r="J5" s="662"/>
      <c r="K5" s="662"/>
      <c r="L5" s="663"/>
      <c r="M5" s="661" t="s">
        <v>426</v>
      </c>
      <c r="N5" s="662"/>
      <c r="O5" s="662"/>
      <c r="P5" s="662"/>
      <c r="Q5" s="662"/>
      <c r="R5" s="662"/>
      <c r="S5" s="663"/>
      <c r="T5" s="664" t="s">
        <v>427</v>
      </c>
      <c r="U5" s="664" t="s">
        <v>428</v>
      </c>
      <c r="V5" s="666" t="s">
        <v>429</v>
      </c>
    </row>
    <row r="6" spans="1:22" s="222" customFormat="1" ht="127.5" x14ac:dyDescent="0.25">
      <c r="A6" s="123"/>
      <c r="B6" s="343"/>
      <c r="C6" s="344" t="s">
        <v>430</v>
      </c>
      <c r="D6" s="345" t="s">
        <v>431</v>
      </c>
      <c r="E6" s="346" t="s">
        <v>432</v>
      </c>
      <c r="F6" s="346" t="s">
        <v>433</v>
      </c>
      <c r="G6" s="345" t="s">
        <v>434</v>
      </c>
      <c r="H6" s="345" t="s">
        <v>435</v>
      </c>
      <c r="I6" s="345" t="s">
        <v>436</v>
      </c>
      <c r="J6" s="345" t="s">
        <v>437</v>
      </c>
      <c r="K6" s="345" t="s">
        <v>438</v>
      </c>
      <c r="L6" s="347" t="s">
        <v>439</v>
      </c>
      <c r="M6" s="344" t="s">
        <v>440</v>
      </c>
      <c r="N6" s="345" t="s">
        <v>441</v>
      </c>
      <c r="O6" s="345" t="s">
        <v>442</v>
      </c>
      <c r="P6" s="345" t="s">
        <v>443</v>
      </c>
      <c r="Q6" s="345" t="s">
        <v>444</v>
      </c>
      <c r="R6" s="345" t="s">
        <v>445</v>
      </c>
      <c r="S6" s="347" t="s">
        <v>446</v>
      </c>
      <c r="T6" s="665"/>
      <c r="U6" s="665"/>
      <c r="V6" s="667"/>
    </row>
    <row r="7" spans="1:22" ht="25.5" x14ac:dyDescent="0.2">
      <c r="A7" s="348">
        <v>1</v>
      </c>
      <c r="B7" s="349" t="s">
        <v>409</v>
      </c>
      <c r="C7" s="350">
        <v>0</v>
      </c>
      <c r="D7" s="351">
        <v>0</v>
      </c>
      <c r="E7" s="351">
        <v>0</v>
      </c>
      <c r="F7" s="351">
        <v>0</v>
      </c>
      <c r="G7" s="350">
        <v>0</v>
      </c>
      <c r="H7" s="351">
        <v>0</v>
      </c>
      <c r="I7" s="351">
        <v>0</v>
      </c>
      <c r="J7" s="351">
        <v>0</v>
      </c>
      <c r="K7" s="350">
        <v>0</v>
      </c>
      <c r="L7" s="351">
        <v>0</v>
      </c>
      <c r="M7" s="351">
        <v>0</v>
      </c>
      <c r="N7" s="351">
        <v>0</v>
      </c>
      <c r="O7" s="350">
        <v>0</v>
      </c>
      <c r="P7" s="351">
        <v>0</v>
      </c>
      <c r="Q7" s="351">
        <v>0</v>
      </c>
      <c r="R7" s="351">
        <v>0</v>
      </c>
      <c r="S7" s="350">
        <v>0</v>
      </c>
      <c r="T7" s="351">
        <v>0</v>
      </c>
      <c r="U7" s="351">
        <v>0</v>
      </c>
      <c r="V7" s="352">
        <f>SUM(C7:S7)</f>
        <v>0</v>
      </c>
    </row>
    <row r="8" spans="1:22" ht="25.5" x14ac:dyDescent="0.2">
      <c r="A8" s="348">
        <v>2</v>
      </c>
      <c r="B8" s="349" t="s">
        <v>410</v>
      </c>
      <c r="C8" s="350">
        <v>0</v>
      </c>
      <c r="D8" s="351">
        <v>0</v>
      </c>
      <c r="E8" s="351">
        <v>0</v>
      </c>
      <c r="F8" s="351">
        <v>0</v>
      </c>
      <c r="G8" s="350">
        <v>0</v>
      </c>
      <c r="H8" s="351">
        <v>0</v>
      </c>
      <c r="I8" s="351">
        <v>0</v>
      </c>
      <c r="J8" s="351">
        <v>0</v>
      </c>
      <c r="K8" s="350">
        <v>0</v>
      </c>
      <c r="L8" s="351">
        <v>0</v>
      </c>
      <c r="M8" s="351">
        <v>0</v>
      </c>
      <c r="N8" s="351">
        <v>0</v>
      </c>
      <c r="O8" s="350">
        <v>0</v>
      </c>
      <c r="P8" s="351">
        <v>0</v>
      </c>
      <c r="Q8" s="351">
        <v>0</v>
      </c>
      <c r="R8" s="351">
        <v>0</v>
      </c>
      <c r="S8" s="350">
        <v>0</v>
      </c>
      <c r="T8" s="351">
        <v>0</v>
      </c>
      <c r="U8" s="351">
        <v>0</v>
      </c>
      <c r="V8" s="352">
        <f t="shared" ref="V8:V20" si="0">SUM(C8:S8)</f>
        <v>0</v>
      </c>
    </row>
    <row r="9" spans="1:22" x14ac:dyDescent="0.2">
      <c r="A9" s="348">
        <v>3</v>
      </c>
      <c r="B9" s="349" t="s">
        <v>411</v>
      </c>
      <c r="C9" s="350">
        <v>0</v>
      </c>
      <c r="D9" s="351">
        <v>0</v>
      </c>
      <c r="E9" s="351">
        <v>0</v>
      </c>
      <c r="F9" s="351">
        <v>0</v>
      </c>
      <c r="G9" s="350">
        <v>0</v>
      </c>
      <c r="H9" s="351">
        <v>0</v>
      </c>
      <c r="I9" s="351">
        <v>0</v>
      </c>
      <c r="J9" s="351">
        <v>0</v>
      </c>
      <c r="K9" s="350">
        <v>0</v>
      </c>
      <c r="L9" s="351">
        <v>0</v>
      </c>
      <c r="M9" s="351">
        <v>0</v>
      </c>
      <c r="N9" s="351">
        <v>0</v>
      </c>
      <c r="O9" s="350">
        <v>0</v>
      </c>
      <c r="P9" s="351">
        <v>0</v>
      </c>
      <c r="Q9" s="351">
        <v>0</v>
      </c>
      <c r="R9" s="351">
        <v>0</v>
      </c>
      <c r="S9" s="350">
        <v>0</v>
      </c>
      <c r="T9" s="351">
        <v>0</v>
      </c>
      <c r="U9" s="351">
        <v>0</v>
      </c>
      <c r="V9" s="352">
        <f>SUM(C9:S9)</f>
        <v>0</v>
      </c>
    </row>
    <row r="10" spans="1:22" ht="25.5" x14ac:dyDescent="0.2">
      <c r="A10" s="348">
        <v>4</v>
      </c>
      <c r="B10" s="349" t="s">
        <v>412</v>
      </c>
      <c r="C10" s="350">
        <v>0</v>
      </c>
      <c r="D10" s="351">
        <v>0</v>
      </c>
      <c r="E10" s="351">
        <v>0</v>
      </c>
      <c r="F10" s="351">
        <v>0</v>
      </c>
      <c r="G10" s="350">
        <v>0</v>
      </c>
      <c r="H10" s="351">
        <v>0</v>
      </c>
      <c r="I10" s="351">
        <v>0</v>
      </c>
      <c r="J10" s="351">
        <v>0</v>
      </c>
      <c r="K10" s="350">
        <v>0</v>
      </c>
      <c r="L10" s="351">
        <v>0</v>
      </c>
      <c r="M10" s="351">
        <v>0</v>
      </c>
      <c r="N10" s="351">
        <v>0</v>
      </c>
      <c r="O10" s="350">
        <v>0</v>
      </c>
      <c r="P10" s="351">
        <v>0</v>
      </c>
      <c r="Q10" s="351">
        <v>0</v>
      </c>
      <c r="R10" s="351">
        <v>0</v>
      </c>
      <c r="S10" s="350">
        <v>0</v>
      </c>
      <c r="T10" s="351">
        <v>0</v>
      </c>
      <c r="U10" s="351">
        <v>0</v>
      </c>
      <c r="V10" s="352">
        <f t="shared" si="0"/>
        <v>0</v>
      </c>
    </row>
    <row r="11" spans="1:22" ht="25.5" x14ac:dyDescent="0.2">
      <c r="A11" s="348">
        <v>5</v>
      </c>
      <c r="B11" s="349" t="s">
        <v>413</v>
      </c>
      <c r="C11" s="350">
        <v>0</v>
      </c>
      <c r="D11" s="351">
        <v>0</v>
      </c>
      <c r="E11" s="351">
        <v>0</v>
      </c>
      <c r="F11" s="351">
        <v>0</v>
      </c>
      <c r="G11" s="350">
        <v>0</v>
      </c>
      <c r="H11" s="351">
        <v>0</v>
      </c>
      <c r="I11" s="351">
        <v>0</v>
      </c>
      <c r="J11" s="351">
        <v>0</v>
      </c>
      <c r="K11" s="350">
        <v>0</v>
      </c>
      <c r="L11" s="351">
        <v>0</v>
      </c>
      <c r="M11" s="351">
        <v>0</v>
      </c>
      <c r="N11" s="351">
        <v>0</v>
      </c>
      <c r="O11" s="350">
        <v>0</v>
      </c>
      <c r="P11" s="351">
        <v>0</v>
      </c>
      <c r="Q11" s="351">
        <v>0</v>
      </c>
      <c r="R11" s="351">
        <v>0</v>
      </c>
      <c r="S11" s="350">
        <v>0</v>
      </c>
      <c r="T11" s="351">
        <v>0</v>
      </c>
      <c r="U11" s="351">
        <v>0</v>
      </c>
      <c r="V11" s="352">
        <f t="shared" si="0"/>
        <v>0</v>
      </c>
    </row>
    <row r="12" spans="1:22" x14ac:dyDescent="0.2">
      <c r="A12" s="348">
        <v>6</v>
      </c>
      <c r="B12" s="349" t="s">
        <v>414</v>
      </c>
      <c r="C12" s="350">
        <v>0</v>
      </c>
      <c r="D12" s="351">
        <v>0</v>
      </c>
      <c r="E12" s="351">
        <v>0</v>
      </c>
      <c r="F12" s="351">
        <v>0</v>
      </c>
      <c r="G12" s="350">
        <v>0</v>
      </c>
      <c r="H12" s="351">
        <v>0</v>
      </c>
      <c r="I12" s="351">
        <v>0</v>
      </c>
      <c r="J12" s="351">
        <v>0</v>
      </c>
      <c r="K12" s="350">
        <v>0</v>
      </c>
      <c r="L12" s="351">
        <v>0</v>
      </c>
      <c r="M12" s="351">
        <v>0</v>
      </c>
      <c r="N12" s="351">
        <v>0</v>
      </c>
      <c r="O12" s="350">
        <v>0</v>
      </c>
      <c r="P12" s="351">
        <v>0</v>
      </c>
      <c r="Q12" s="351">
        <v>0</v>
      </c>
      <c r="R12" s="351">
        <v>0</v>
      </c>
      <c r="S12" s="350">
        <v>0</v>
      </c>
      <c r="T12" s="351">
        <v>0</v>
      </c>
      <c r="U12" s="351">
        <v>0</v>
      </c>
      <c r="V12" s="352">
        <f t="shared" si="0"/>
        <v>0</v>
      </c>
    </row>
    <row r="13" spans="1:22" ht="25.5" x14ac:dyDescent="0.2">
      <c r="A13" s="348">
        <v>7</v>
      </c>
      <c r="B13" s="349" t="s">
        <v>415</v>
      </c>
      <c r="C13" s="350">
        <v>0</v>
      </c>
      <c r="D13" s="351">
        <v>0</v>
      </c>
      <c r="E13" s="351">
        <v>0</v>
      </c>
      <c r="F13" s="351">
        <v>0</v>
      </c>
      <c r="G13" s="350">
        <v>0</v>
      </c>
      <c r="H13" s="351">
        <v>0</v>
      </c>
      <c r="I13" s="351">
        <v>0</v>
      </c>
      <c r="J13" s="351">
        <v>0</v>
      </c>
      <c r="K13" s="350">
        <v>0</v>
      </c>
      <c r="L13" s="351">
        <v>0</v>
      </c>
      <c r="M13" s="351">
        <v>0</v>
      </c>
      <c r="N13" s="351">
        <v>0</v>
      </c>
      <c r="O13" s="350">
        <v>0</v>
      </c>
      <c r="P13" s="351">
        <v>0</v>
      </c>
      <c r="Q13" s="351">
        <v>0</v>
      </c>
      <c r="R13" s="351">
        <v>0</v>
      </c>
      <c r="S13" s="350">
        <v>0</v>
      </c>
      <c r="T13" s="351">
        <v>0</v>
      </c>
      <c r="U13" s="351">
        <v>0</v>
      </c>
      <c r="V13" s="352">
        <f t="shared" si="0"/>
        <v>0</v>
      </c>
    </row>
    <row r="14" spans="1:22" x14ac:dyDescent="0.2">
      <c r="A14" s="348">
        <v>8</v>
      </c>
      <c r="B14" s="349" t="s">
        <v>416</v>
      </c>
      <c r="C14" s="350">
        <v>0</v>
      </c>
      <c r="D14" s="351">
        <v>0</v>
      </c>
      <c r="E14" s="351">
        <v>0</v>
      </c>
      <c r="F14" s="351">
        <v>0</v>
      </c>
      <c r="G14" s="350">
        <v>0</v>
      </c>
      <c r="H14" s="351">
        <v>0</v>
      </c>
      <c r="I14" s="351">
        <v>0</v>
      </c>
      <c r="J14" s="351">
        <v>0</v>
      </c>
      <c r="K14" s="350">
        <v>0</v>
      </c>
      <c r="L14" s="351">
        <v>0</v>
      </c>
      <c r="M14" s="351">
        <v>0</v>
      </c>
      <c r="N14" s="351">
        <v>0</v>
      </c>
      <c r="O14" s="350">
        <v>0</v>
      </c>
      <c r="P14" s="351">
        <v>0</v>
      </c>
      <c r="Q14" s="351">
        <v>0</v>
      </c>
      <c r="R14" s="351">
        <v>0</v>
      </c>
      <c r="S14" s="350">
        <v>0</v>
      </c>
      <c r="T14" s="351">
        <v>0</v>
      </c>
      <c r="U14" s="351">
        <v>0</v>
      </c>
      <c r="V14" s="352">
        <f t="shared" si="0"/>
        <v>0</v>
      </c>
    </row>
    <row r="15" spans="1:22" ht="25.5" x14ac:dyDescent="0.2">
      <c r="A15" s="348">
        <v>9</v>
      </c>
      <c r="B15" s="349" t="s">
        <v>417</v>
      </c>
      <c r="C15" s="350">
        <v>0</v>
      </c>
      <c r="D15" s="351">
        <v>0</v>
      </c>
      <c r="E15" s="351">
        <v>0</v>
      </c>
      <c r="F15" s="351">
        <v>0</v>
      </c>
      <c r="G15" s="350">
        <v>0</v>
      </c>
      <c r="H15" s="351">
        <v>0</v>
      </c>
      <c r="I15" s="351">
        <v>0</v>
      </c>
      <c r="J15" s="351">
        <v>0</v>
      </c>
      <c r="K15" s="350">
        <v>0</v>
      </c>
      <c r="L15" s="351">
        <v>0</v>
      </c>
      <c r="M15" s="351">
        <v>0</v>
      </c>
      <c r="N15" s="351">
        <v>0</v>
      </c>
      <c r="O15" s="350">
        <v>0</v>
      </c>
      <c r="P15" s="351">
        <v>0</v>
      </c>
      <c r="Q15" s="351">
        <v>0</v>
      </c>
      <c r="R15" s="351">
        <v>0</v>
      </c>
      <c r="S15" s="350">
        <v>0</v>
      </c>
      <c r="T15" s="351">
        <v>0</v>
      </c>
      <c r="U15" s="351">
        <v>0</v>
      </c>
      <c r="V15" s="352">
        <f t="shared" si="0"/>
        <v>0</v>
      </c>
    </row>
    <row r="16" spans="1:22" x14ac:dyDescent="0.2">
      <c r="A16" s="348">
        <v>10</v>
      </c>
      <c r="B16" s="349" t="s">
        <v>418</v>
      </c>
      <c r="C16" s="350">
        <v>0</v>
      </c>
      <c r="D16" s="351">
        <v>0</v>
      </c>
      <c r="E16" s="351">
        <v>0</v>
      </c>
      <c r="F16" s="351">
        <v>0</v>
      </c>
      <c r="G16" s="350">
        <v>0</v>
      </c>
      <c r="H16" s="351">
        <v>0</v>
      </c>
      <c r="I16" s="351">
        <v>0</v>
      </c>
      <c r="J16" s="351">
        <v>0</v>
      </c>
      <c r="K16" s="350">
        <v>0</v>
      </c>
      <c r="L16" s="351">
        <v>0</v>
      </c>
      <c r="M16" s="351">
        <v>0</v>
      </c>
      <c r="N16" s="351">
        <v>0</v>
      </c>
      <c r="O16" s="350">
        <v>0</v>
      </c>
      <c r="P16" s="351">
        <v>0</v>
      </c>
      <c r="Q16" s="351">
        <v>0</v>
      </c>
      <c r="R16" s="351">
        <v>0</v>
      </c>
      <c r="S16" s="350">
        <v>0</v>
      </c>
      <c r="T16" s="351">
        <v>0</v>
      </c>
      <c r="U16" s="351">
        <v>0</v>
      </c>
      <c r="V16" s="352">
        <f t="shared" si="0"/>
        <v>0</v>
      </c>
    </row>
    <row r="17" spans="1:22" x14ac:dyDescent="0.2">
      <c r="A17" s="348">
        <v>11</v>
      </c>
      <c r="B17" s="349" t="s">
        <v>419</v>
      </c>
      <c r="C17" s="350">
        <v>0</v>
      </c>
      <c r="D17" s="351">
        <v>0</v>
      </c>
      <c r="E17" s="351">
        <v>0</v>
      </c>
      <c r="F17" s="351">
        <v>0</v>
      </c>
      <c r="G17" s="350">
        <v>0</v>
      </c>
      <c r="H17" s="351">
        <v>0</v>
      </c>
      <c r="I17" s="351">
        <v>0</v>
      </c>
      <c r="J17" s="351">
        <v>0</v>
      </c>
      <c r="K17" s="350">
        <v>0</v>
      </c>
      <c r="L17" s="351">
        <v>0</v>
      </c>
      <c r="M17" s="351">
        <v>0</v>
      </c>
      <c r="N17" s="351">
        <v>0</v>
      </c>
      <c r="O17" s="350">
        <v>0</v>
      </c>
      <c r="P17" s="351">
        <v>0</v>
      </c>
      <c r="Q17" s="351">
        <v>0</v>
      </c>
      <c r="R17" s="351">
        <v>0</v>
      </c>
      <c r="S17" s="350">
        <v>0</v>
      </c>
      <c r="T17" s="351">
        <v>0</v>
      </c>
      <c r="U17" s="351">
        <v>0</v>
      </c>
      <c r="V17" s="352">
        <f t="shared" si="0"/>
        <v>0</v>
      </c>
    </row>
    <row r="18" spans="1:22" x14ac:dyDescent="0.2">
      <c r="A18" s="348">
        <v>12</v>
      </c>
      <c r="B18" s="349" t="s">
        <v>420</v>
      </c>
      <c r="C18" s="350">
        <v>0</v>
      </c>
      <c r="D18" s="351">
        <v>0</v>
      </c>
      <c r="E18" s="351">
        <v>0</v>
      </c>
      <c r="F18" s="351">
        <v>0</v>
      </c>
      <c r="G18" s="350">
        <v>0</v>
      </c>
      <c r="H18" s="351">
        <v>0</v>
      </c>
      <c r="I18" s="351">
        <v>0</v>
      </c>
      <c r="J18" s="351">
        <v>0</v>
      </c>
      <c r="K18" s="350">
        <v>0</v>
      </c>
      <c r="L18" s="351">
        <v>0</v>
      </c>
      <c r="M18" s="351">
        <v>0</v>
      </c>
      <c r="N18" s="351">
        <v>0</v>
      </c>
      <c r="O18" s="350">
        <v>0</v>
      </c>
      <c r="P18" s="351">
        <v>0</v>
      </c>
      <c r="Q18" s="351">
        <v>0</v>
      </c>
      <c r="R18" s="351">
        <v>0</v>
      </c>
      <c r="S18" s="350">
        <v>0</v>
      </c>
      <c r="T18" s="351">
        <v>0</v>
      </c>
      <c r="U18" s="351">
        <v>0</v>
      </c>
      <c r="V18" s="352">
        <f t="shared" si="0"/>
        <v>0</v>
      </c>
    </row>
    <row r="19" spans="1:22" x14ac:dyDescent="0.2">
      <c r="A19" s="348">
        <v>13</v>
      </c>
      <c r="B19" s="349" t="s">
        <v>421</v>
      </c>
      <c r="C19" s="350">
        <v>0</v>
      </c>
      <c r="D19" s="351">
        <v>0</v>
      </c>
      <c r="E19" s="351">
        <v>0</v>
      </c>
      <c r="F19" s="351">
        <v>0</v>
      </c>
      <c r="G19" s="350">
        <v>0</v>
      </c>
      <c r="H19" s="351">
        <v>0</v>
      </c>
      <c r="I19" s="351">
        <v>0</v>
      </c>
      <c r="J19" s="351">
        <v>0</v>
      </c>
      <c r="K19" s="350">
        <v>0</v>
      </c>
      <c r="L19" s="351">
        <v>0</v>
      </c>
      <c r="M19" s="351">
        <v>0</v>
      </c>
      <c r="N19" s="351">
        <v>0</v>
      </c>
      <c r="O19" s="350">
        <v>0</v>
      </c>
      <c r="P19" s="351">
        <v>0</v>
      </c>
      <c r="Q19" s="351">
        <v>0</v>
      </c>
      <c r="R19" s="351">
        <v>0</v>
      </c>
      <c r="S19" s="350">
        <v>0</v>
      </c>
      <c r="T19" s="351">
        <v>0</v>
      </c>
      <c r="U19" s="351">
        <v>0</v>
      </c>
      <c r="V19" s="352">
        <f t="shared" si="0"/>
        <v>0</v>
      </c>
    </row>
    <row r="20" spans="1:22" x14ac:dyDescent="0.2">
      <c r="A20" s="348">
        <v>14</v>
      </c>
      <c r="B20" s="349" t="s">
        <v>422</v>
      </c>
      <c r="C20" s="350">
        <v>0</v>
      </c>
      <c r="D20" s="351">
        <v>0</v>
      </c>
      <c r="E20" s="351">
        <v>0</v>
      </c>
      <c r="F20" s="351">
        <v>0</v>
      </c>
      <c r="G20" s="350">
        <v>0</v>
      </c>
      <c r="H20" s="351">
        <v>0</v>
      </c>
      <c r="I20" s="351">
        <v>0</v>
      </c>
      <c r="J20" s="351">
        <v>0</v>
      </c>
      <c r="K20" s="350">
        <v>0</v>
      </c>
      <c r="L20" s="351">
        <v>0</v>
      </c>
      <c r="M20" s="351">
        <v>0</v>
      </c>
      <c r="N20" s="351">
        <v>0</v>
      </c>
      <c r="O20" s="350">
        <v>0</v>
      </c>
      <c r="P20" s="351">
        <v>0</v>
      </c>
      <c r="Q20" s="351">
        <v>0</v>
      </c>
      <c r="R20" s="351">
        <v>0</v>
      </c>
      <c r="S20" s="350">
        <v>0</v>
      </c>
      <c r="T20" s="351">
        <v>0</v>
      </c>
      <c r="U20" s="351">
        <v>0</v>
      </c>
      <c r="V20" s="352">
        <f t="shared" si="0"/>
        <v>0</v>
      </c>
    </row>
    <row r="21" spans="1:22" ht="13.5" thickBot="1" x14ac:dyDescent="0.25">
      <c r="A21" s="334"/>
      <c r="B21" s="353" t="s">
        <v>84</v>
      </c>
      <c r="C21" s="354">
        <f>SUM(C7:C20)</f>
        <v>0</v>
      </c>
      <c r="D21" s="355">
        <f t="shared" ref="D21:V21" si="1">SUM(D7:D20)</f>
        <v>0</v>
      </c>
      <c r="E21" s="355">
        <f t="shared" si="1"/>
        <v>0</v>
      </c>
      <c r="F21" s="355">
        <f t="shared" si="1"/>
        <v>0</v>
      </c>
      <c r="G21" s="355">
        <f t="shared" si="1"/>
        <v>0</v>
      </c>
      <c r="H21" s="355">
        <f t="shared" si="1"/>
        <v>0</v>
      </c>
      <c r="I21" s="355">
        <f t="shared" si="1"/>
        <v>0</v>
      </c>
      <c r="J21" s="355">
        <f t="shared" si="1"/>
        <v>0</v>
      </c>
      <c r="K21" s="355">
        <f t="shared" si="1"/>
        <v>0</v>
      </c>
      <c r="L21" s="356">
        <f t="shared" si="1"/>
        <v>0</v>
      </c>
      <c r="M21" s="354">
        <f t="shared" si="1"/>
        <v>0</v>
      </c>
      <c r="N21" s="355">
        <f t="shared" si="1"/>
        <v>0</v>
      </c>
      <c r="O21" s="355">
        <f t="shared" si="1"/>
        <v>0</v>
      </c>
      <c r="P21" s="355">
        <f t="shared" si="1"/>
        <v>0</v>
      </c>
      <c r="Q21" s="355">
        <f t="shared" si="1"/>
        <v>0</v>
      </c>
      <c r="R21" s="355">
        <f t="shared" si="1"/>
        <v>0</v>
      </c>
      <c r="S21" s="356">
        <f t="shared" si="1"/>
        <v>0</v>
      </c>
      <c r="T21" s="356">
        <f>SUM(T7:T20)</f>
        <v>0</v>
      </c>
      <c r="U21" s="356">
        <f t="shared" si="1"/>
        <v>0</v>
      </c>
      <c r="V21" s="357">
        <f t="shared" si="1"/>
        <v>0</v>
      </c>
    </row>
    <row r="24" spans="1:22" x14ac:dyDescent="0.2">
      <c r="C24" s="358"/>
      <c r="D24" s="358"/>
      <c r="E24" s="358"/>
    </row>
    <row r="25" spans="1:22" x14ac:dyDescent="0.2">
      <c r="A25" s="201"/>
      <c r="B25" s="201"/>
      <c r="D25" s="358"/>
      <c r="E25" s="358"/>
    </row>
    <row r="26" spans="1:22" x14ac:dyDescent="0.2">
      <c r="A26" s="201"/>
      <c r="B26" s="359"/>
      <c r="D26" s="358"/>
      <c r="E26" s="358"/>
    </row>
    <row r="27" spans="1:22" x14ac:dyDescent="0.2">
      <c r="A27" s="201"/>
      <c r="B27" s="201"/>
      <c r="D27" s="358"/>
      <c r="E27" s="358"/>
    </row>
    <row r="28" spans="1:22" x14ac:dyDescent="0.2">
      <c r="A28" s="201"/>
      <c r="B28" s="359"/>
      <c r="D28" s="358"/>
      <c r="E28" s="358"/>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D4A4-3437-4C99-8EAA-C25042389812}">
  <dimension ref="A1:I31"/>
  <sheetViews>
    <sheetView zoomScale="85" zoomScaleNormal="85" workbookViewId="0">
      <selection activeCell="C8" sqref="C8:H22"/>
    </sheetView>
  </sheetViews>
  <sheetFormatPr defaultColWidth="9.140625" defaultRowHeight="12.75" x14ac:dyDescent="0.2"/>
  <cols>
    <col min="1" max="1" width="9.85546875" style="17" customWidth="1"/>
    <col min="2" max="2" width="101.85546875" style="17" customWidth="1"/>
    <col min="3" max="3" width="13.7109375" style="17" customWidth="1"/>
    <col min="4" max="4" width="14.85546875" style="17" bestFit="1" customWidth="1"/>
    <col min="5" max="5" width="17.7109375" style="17" customWidth="1"/>
    <col min="6" max="6" width="18.140625" style="17" customWidth="1"/>
    <col min="7" max="7" width="20" style="17" customWidth="1"/>
    <col min="8" max="8" width="15.28515625" style="17" customWidth="1"/>
    <col min="9" max="16384" width="9.140625" style="88"/>
  </cols>
  <sheetData>
    <row r="1" spans="1:9" x14ac:dyDescent="0.2">
      <c r="A1" s="17" t="s">
        <v>30</v>
      </c>
      <c r="B1" s="17" t="s">
        <v>2</v>
      </c>
    </row>
    <row r="2" spans="1:9" x14ac:dyDescent="0.2">
      <c r="A2" s="17" t="s">
        <v>31</v>
      </c>
      <c r="B2" s="62">
        <v>44742</v>
      </c>
    </row>
    <row r="4" spans="1:9" ht="13.5" thickBot="1" x14ac:dyDescent="0.25">
      <c r="A4" s="17" t="s">
        <v>447</v>
      </c>
      <c r="B4" s="224" t="s">
        <v>448</v>
      </c>
    </row>
    <row r="5" spans="1:9" x14ac:dyDescent="0.2">
      <c r="A5" s="341"/>
      <c r="B5" s="360"/>
      <c r="C5" s="361" t="s">
        <v>276</v>
      </c>
      <c r="D5" s="361" t="s">
        <v>277</v>
      </c>
      <c r="E5" s="361" t="s">
        <v>278</v>
      </c>
      <c r="F5" s="361" t="s">
        <v>391</v>
      </c>
      <c r="G5" s="362" t="s">
        <v>392</v>
      </c>
      <c r="H5" s="363" t="s">
        <v>393</v>
      </c>
      <c r="I5" s="364"/>
    </row>
    <row r="6" spans="1:9" ht="15" customHeight="1" x14ac:dyDescent="0.2">
      <c r="A6" s="328"/>
      <c r="B6" s="365"/>
      <c r="C6" s="659" t="s">
        <v>449</v>
      </c>
      <c r="D6" s="668" t="s">
        <v>450</v>
      </c>
      <c r="E6" s="669"/>
      <c r="F6" s="659" t="s">
        <v>451</v>
      </c>
      <c r="G6" s="659" t="s">
        <v>452</v>
      </c>
      <c r="H6" s="670" t="s">
        <v>453</v>
      </c>
      <c r="I6" s="364"/>
    </row>
    <row r="7" spans="1:9" ht="63.75" x14ac:dyDescent="0.2">
      <c r="A7" s="328"/>
      <c r="B7" s="365"/>
      <c r="C7" s="660"/>
      <c r="D7" s="366" t="s">
        <v>454</v>
      </c>
      <c r="E7" s="366" t="s">
        <v>455</v>
      </c>
      <c r="F7" s="660"/>
      <c r="G7" s="660"/>
      <c r="H7" s="671"/>
      <c r="I7" s="364"/>
    </row>
    <row r="8" spans="1:9" x14ac:dyDescent="0.2">
      <c r="A8" s="367">
        <v>1</v>
      </c>
      <c r="B8" s="238" t="s">
        <v>409</v>
      </c>
      <c r="C8" s="351">
        <v>31655769.890000001</v>
      </c>
      <c r="D8" s="351"/>
      <c r="E8" s="351"/>
      <c r="F8" s="351">
        <v>1501517.1900000002</v>
      </c>
      <c r="G8" s="368">
        <v>1501517.1900000002</v>
      </c>
      <c r="H8" s="369">
        <f>G8/(C8+E8)</f>
        <v>4.7432654306547972E-2</v>
      </c>
    </row>
    <row r="9" spans="1:9" ht="15" customHeight="1" x14ac:dyDescent="0.2">
      <c r="A9" s="367">
        <v>2</v>
      </c>
      <c r="B9" s="238" t="s">
        <v>410</v>
      </c>
      <c r="C9" s="351">
        <v>0</v>
      </c>
      <c r="D9" s="351"/>
      <c r="E9" s="351"/>
      <c r="F9" s="351">
        <v>0</v>
      </c>
      <c r="G9" s="368">
        <v>0</v>
      </c>
      <c r="H9" s="369" t="e">
        <f t="shared" ref="H9:H21" si="0">G9/(C9+E9)</f>
        <v>#DIV/0!</v>
      </c>
    </row>
    <row r="10" spans="1:9" x14ac:dyDescent="0.2">
      <c r="A10" s="367">
        <v>3</v>
      </c>
      <c r="B10" s="238" t="s">
        <v>411</v>
      </c>
      <c r="C10" s="351">
        <v>0</v>
      </c>
      <c r="D10" s="351"/>
      <c r="E10" s="351"/>
      <c r="F10" s="351">
        <v>0</v>
      </c>
      <c r="G10" s="368">
        <v>0</v>
      </c>
      <c r="H10" s="369" t="e">
        <f t="shared" si="0"/>
        <v>#DIV/0!</v>
      </c>
    </row>
    <row r="11" spans="1:9" x14ac:dyDescent="0.2">
      <c r="A11" s="367">
        <v>4</v>
      </c>
      <c r="B11" s="238" t="s">
        <v>412</v>
      </c>
      <c r="C11" s="351">
        <v>0</v>
      </c>
      <c r="D11" s="351"/>
      <c r="E11" s="351"/>
      <c r="F11" s="351">
        <v>0</v>
      </c>
      <c r="G11" s="368">
        <v>0</v>
      </c>
      <c r="H11" s="369" t="e">
        <f t="shared" si="0"/>
        <v>#DIV/0!</v>
      </c>
    </row>
    <row r="12" spans="1:9" x14ac:dyDescent="0.2">
      <c r="A12" s="367">
        <v>5</v>
      </c>
      <c r="B12" s="238" t="s">
        <v>413</v>
      </c>
      <c r="C12" s="351">
        <v>0</v>
      </c>
      <c r="D12" s="351"/>
      <c r="E12" s="351"/>
      <c r="F12" s="351">
        <v>0</v>
      </c>
      <c r="G12" s="368">
        <v>0</v>
      </c>
      <c r="H12" s="369" t="e">
        <f t="shared" si="0"/>
        <v>#DIV/0!</v>
      </c>
    </row>
    <row r="13" spans="1:9" x14ac:dyDescent="0.2">
      <c r="A13" s="367">
        <v>6</v>
      </c>
      <c r="B13" s="238" t="s">
        <v>414</v>
      </c>
      <c r="C13" s="351">
        <v>738144.39</v>
      </c>
      <c r="D13" s="351"/>
      <c r="E13" s="351"/>
      <c r="F13" s="351">
        <v>563489.11</v>
      </c>
      <c r="G13" s="368">
        <v>563489.11</v>
      </c>
      <c r="H13" s="369">
        <f t="shared" si="0"/>
        <v>0.76338602261814925</v>
      </c>
    </row>
    <row r="14" spans="1:9" x14ac:dyDescent="0.2">
      <c r="A14" s="367">
        <v>7</v>
      </c>
      <c r="B14" s="238" t="s">
        <v>415</v>
      </c>
      <c r="C14" s="351">
        <v>9531614.5</v>
      </c>
      <c r="D14" s="351">
        <v>1435570.39</v>
      </c>
      <c r="E14" s="351">
        <v>1318789</v>
      </c>
      <c r="F14" s="351">
        <v>10850403.5</v>
      </c>
      <c r="G14" s="368">
        <v>10850403.5</v>
      </c>
      <c r="H14" s="369">
        <f t="shared" si="0"/>
        <v>1</v>
      </c>
    </row>
    <row r="15" spans="1:9" x14ac:dyDescent="0.2">
      <c r="A15" s="367">
        <v>8</v>
      </c>
      <c r="B15" s="238" t="s">
        <v>416</v>
      </c>
      <c r="C15" s="351">
        <v>5257955.8900000006</v>
      </c>
      <c r="D15" s="351"/>
      <c r="E15" s="351"/>
      <c r="F15" s="351">
        <v>5257955.8900000006</v>
      </c>
      <c r="G15" s="368">
        <v>5257955.8900000006</v>
      </c>
      <c r="H15" s="369">
        <f t="shared" si="0"/>
        <v>1</v>
      </c>
      <c r="I15" s="88" t="s">
        <v>456</v>
      </c>
    </row>
    <row r="16" spans="1:9" x14ac:dyDescent="0.2">
      <c r="A16" s="367">
        <v>9</v>
      </c>
      <c r="B16" s="238" t="s">
        <v>417</v>
      </c>
      <c r="C16" s="351">
        <v>0</v>
      </c>
      <c r="D16" s="351"/>
      <c r="E16" s="351"/>
      <c r="F16" s="351">
        <v>0</v>
      </c>
      <c r="G16" s="368">
        <v>0</v>
      </c>
      <c r="H16" s="369" t="e">
        <f t="shared" si="0"/>
        <v>#DIV/0!</v>
      </c>
    </row>
    <row r="17" spans="1:8" x14ac:dyDescent="0.2">
      <c r="A17" s="367">
        <v>10</v>
      </c>
      <c r="B17" s="238" t="s">
        <v>418</v>
      </c>
      <c r="C17" s="351">
        <v>701174.91999999993</v>
      </c>
      <c r="D17" s="351"/>
      <c r="E17" s="351"/>
      <c r="F17" s="351">
        <v>701174.91999999993</v>
      </c>
      <c r="G17" s="368">
        <v>701174.91999999993</v>
      </c>
      <c r="H17" s="369">
        <f t="shared" si="0"/>
        <v>1</v>
      </c>
    </row>
    <row r="18" spans="1:8" x14ac:dyDescent="0.2">
      <c r="A18" s="367">
        <v>11</v>
      </c>
      <c r="B18" s="238" t="s">
        <v>419</v>
      </c>
      <c r="C18" s="351">
        <v>68580.840000000026</v>
      </c>
      <c r="D18" s="351"/>
      <c r="E18" s="351"/>
      <c r="F18" s="351">
        <v>102871.26000000004</v>
      </c>
      <c r="G18" s="368">
        <v>102871.26000000004</v>
      </c>
      <c r="H18" s="369">
        <f t="shared" si="0"/>
        <v>1.5</v>
      </c>
    </row>
    <row r="19" spans="1:8" x14ac:dyDescent="0.2">
      <c r="A19" s="367">
        <v>12</v>
      </c>
      <c r="B19" s="238" t="s">
        <v>420</v>
      </c>
      <c r="C19" s="351">
        <v>0</v>
      </c>
      <c r="D19" s="351"/>
      <c r="E19" s="351"/>
      <c r="F19" s="351">
        <v>0</v>
      </c>
      <c r="G19" s="368">
        <v>0</v>
      </c>
      <c r="H19" s="369" t="e">
        <f t="shared" si="0"/>
        <v>#DIV/0!</v>
      </c>
    </row>
    <row r="20" spans="1:8" x14ac:dyDescent="0.2">
      <c r="A20" s="367">
        <v>13</v>
      </c>
      <c r="B20" s="238" t="s">
        <v>421</v>
      </c>
      <c r="C20" s="351">
        <v>0</v>
      </c>
      <c r="D20" s="351"/>
      <c r="E20" s="351"/>
      <c r="F20" s="351">
        <v>0</v>
      </c>
      <c r="G20" s="368">
        <v>0</v>
      </c>
      <c r="H20" s="369" t="e">
        <f t="shared" si="0"/>
        <v>#DIV/0!</v>
      </c>
    </row>
    <row r="21" spans="1:8" x14ac:dyDescent="0.2">
      <c r="A21" s="367">
        <v>14</v>
      </c>
      <c r="B21" s="238" t="s">
        <v>422</v>
      </c>
      <c r="C21" s="351">
        <v>26629836.619999997</v>
      </c>
      <c r="D21" s="351"/>
      <c r="E21" s="351"/>
      <c r="F21" s="351">
        <v>25074273.545999996</v>
      </c>
      <c r="G21" s="368">
        <v>25074273.545999996</v>
      </c>
      <c r="H21" s="369">
        <f t="shared" si="0"/>
        <v>0.94158570718260748</v>
      </c>
    </row>
    <row r="22" spans="1:8" ht="13.5" thickBot="1" x14ac:dyDescent="0.25">
      <c r="A22" s="370"/>
      <c r="B22" s="371" t="s">
        <v>84</v>
      </c>
      <c r="C22" s="355">
        <f>SUM(C8:C21)</f>
        <v>74583077.050000012</v>
      </c>
      <c r="D22" s="355">
        <f>SUM(D8:D21)</f>
        <v>1435570.39</v>
      </c>
      <c r="E22" s="355">
        <f>SUM(E8:E21)</f>
        <v>1318789</v>
      </c>
      <c r="F22" s="355">
        <f>SUM(F8:F21)</f>
        <v>44051685.415999994</v>
      </c>
      <c r="G22" s="355">
        <f>SUM(G8:G21)</f>
        <v>44051685.415999994</v>
      </c>
      <c r="H22" s="372">
        <f>G22/(C22+E22)</f>
        <v>0.58037684326471162</v>
      </c>
    </row>
    <row r="24" spans="1:8" s="375" customFormat="1" x14ac:dyDescent="0.2">
      <c r="A24" s="337"/>
      <c r="B24" s="337"/>
      <c r="C24" s="373"/>
      <c r="D24" s="374"/>
      <c r="E24" s="374"/>
      <c r="F24" s="373"/>
      <c r="G24" s="373"/>
      <c r="H24" s="337"/>
    </row>
    <row r="28" spans="1:8" ht="10.5" customHeight="1" x14ac:dyDescent="0.2"/>
    <row r="31" spans="1:8" x14ac:dyDescent="0.2">
      <c r="E31" s="84"/>
    </row>
  </sheetData>
  <mergeCells count="5">
    <mergeCell ref="C6:C7"/>
    <mergeCell ref="D6:E6"/>
    <mergeCell ref="F6:F7"/>
    <mergeCell ref="G6:G7"/>
    <mergeCell ref="H6:H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0E9B-F11C-4EDB-AF7E-8CEC334A89A3}">
  <dimension ref="A1:L28"/>
  <sheetViews>
    <sheetView zoomScaleNormal="100" workbookViewId="0">
      <pane xSplit="2" ySplit="6" topLeftCell="C7" activePane="bottomRight" state="frozen"/>
      <selection activeCell="B3" sqref="B3"/>
      <selection pane="topRight" activeCell="B3" sqref="B3"/>
      <selection pane="bottomLeft" activeCell="B3" sqref="B3"/>
      <selection pane="bottomRight" activeCell="F23" sqref="F23:K25"/>
    </sheetView>
  </sheetViews>
  <sheetFormatPr defaultColWidth="9.140625" defaultRowHeight="12.75" x14ac:dyDescent="0.2"/>
  <cols>
    <col min="1" max="1" width="10.5703125" style="17" bestFit="1" customWidth="1"/>
    <col min="2" max="2" width="54.7109375" style="17" customWidth="1"/>
    <col min="3" max="3" width="13.85546875" style="17" customWidth="1"/>
    <col min="4" max="4" width="13.5703125" style="17" bestFit="1" customWidth="1"/>
    <col min="5" max="5" width="14.42578125" style="17" customWidth="1"/>
    <col min="6" max="6" width="14.28515625" style="17" customWidth="1"/>
    <col min="7" max="7" width="13.28515625" style="17" customWidth="1"/>
    <col min="8" max="8" width="13.85546875" style="17" customWidth="1"/>
    <col min="9" max="9" width="15.85546875" style="17" customWidth="1"/>
    <col min="10" max="10" width="17.7109375" style="17" customWidth="1"/>
    <col min="11" max="11" width="14.5703125" style="17" customWidth="1"/>
    <col min="12" max="12" width="10.5703125" style="17" bestFit="1" customWidth="1"/>
    <col min="13" max="16384" width="9.140625" style="17"/>
  </cols>
  <sheetData>
    <row r="1" spans="1:12" x14ac:dyDescent="0.2">
      <c r="A1" s="17" t="s">
        <v>30</v>
      </c>
      <c r="B1" s="17" t="s">
        <v>2</v>
      </c>
    </row>
    <row r="2" spans="1:12" x14ac:dyDescent="0.2">
      <c r="A2" s="17" t="s">
        <v>31</v>
      </c>
      <c r="B2" s="62">
        <v>44742</v>
      </c>
    </row>
    <row r="4" spans="1:12" ht="13.5" thickBot="1" x14ac:dyDescent="0.25">
      <c r="A4" s="17" t="s">
        <v>457</v>
      </c>
      <c r="B4" s="224" t="s">
        <v>27</v>
      </c>
    </row>
    <row r="5" spans="1:12" ht="30" customHeight="1" x14ac:dyDescent="0.2">
      <c r="A5" s="672"/>
      <c r="B5" s="673"/>
      <c r="C5" s="674" t="s">
        <v>458</v>
      </c>
      <c r="D5" s="674"/>
      <c r="E5" s="674"/>
      <c r="F5" s="674" t="s">
        <v>459</v>
      </c>
      <c r="G5" s="674"/>
      <c r="H5" s="674"/>
      <c r="I5" s="674" t="s">
        <v>460</v>
      </c>
      <c r="J5" s="674"/>
      <c r="K5" s="675"/>
    </row>
    <row r="6" spans="1:12" x14ac:dyDescent="0.2">
      <c r="A6" s="376"/>
      <c r="B6" s="377"/>
      <c r="C6" s="366" t="s">
        <v>82</v>
      </c>
      <c r="D6" s="366" t="s">
        <v>122</v>
      </c>
      <c r="E6" s="366" t="s">
        <v>84</v>
      </c>
      <c r="F6" s="366" t="s">
        <v>82</v>
      </c>
      <c r="G6" s="366" t="s">
        <v>122</v>
      </c>
      <c r="H6" s="366" t="s">
        <v>84</v>
      </c>
      <c r="I6" s="366" t="s">
        <v>82</v>
      </c>
      <c r="J6" s="366" t="s">
        <v>122</v>
      </c>
      <c r="K6" s="378" t="s">
        <v>84</v>
      </c>
    </row>
    <row r="7" spans="1:12" x14ac:dyDescent="0.2">
      <c r="A7" s="379" t="s">
        <v>461</v>
      </c>
      <c r="B7" s="380"/>
      <c r="C7" s="380"/>
      <c r="D7" s="380"/>
      <c r="E7" s="380"/>
      <c r="F7" s="380"/>
      <c r="G7" s="380"/>
      <c r="H7" s="380"/>
      <c r="I7" s="380"/>
      <c r="J7" s="380"/>
      <c r="K7" s="381"/>
    </row>
    <row r="8" spans="1:12" x14ac:dyDescent="0.2">
      <c r="A8" s="382">
        <v>1</v>
      </c>
      <c r="B8" s="383" t="s">
        <v>461</v>
      </c>
      <c r="C8" s="384"/>
      <c r="D8" s="384"/>
      <c r="E8" s="384"/>
      <c r="F8" s="385">
        <v>24819543.313626397</v>
      </c>
      <c r="G8" s="385">
        <v>12758101.82</v>
      </c>
      <c r="H8" s="385">
        <f>F8+G8</f>
        <v>37577645.133626401</v>
      </c>
      <c r="I8" s="385">
        <v>21371275.523626398</v>
      </c>
      <c r="J8" s="385">
        <v>1840040.5899999999</v>
      </c>
      <c r="K8" s="386">
        <f>I8+J8</f>
        <v>23211316.113626398</v>
      </c>
    </row>
    <row r="9" spans="1:12" x14ac:dyDescent="0.2">
      <c r="A9" s="379" t="s">
        <v>462</v>
      </c>
      <c r="B9" s="380"/>
      <c r="C9" s="387"/>
      <c r="D9" s="387"/>
      <c r="E9" s="387"/>
      <c r="F9" s="387"/>
      <c r="G9" s="387"/>
      <c r="H9" s="387"/>
      <c r="I9" s="387"/>
      <c r="J9" s="387"/>
      <c r="K9" s="388"/>
    </row>
    <row r="10" spans="1:12" x14ac:dyDescent="0.2">
      <c r="A10" s="123">
        <v>2</v>
      </c>
      <c r="B10" s="389" t="s">
        <v>463</v>
      </c>
      <c r="C10" s="390">
        <v>2422002.87</v>
      </c>
      <c r="D10" s="391">
        <v>1937476.0099999998</v>
      </c>
      <c r="E10" s="391">
        <f>C10+D10</f>
        <v>4359478.88</v>
      </c>
      <c r="F10" s="391">
        <v>309887.51975000004</v>
      </c>
      <c r="G10" s="391">
        <v>742098.7500499998</v>
      </c>
      <c r="H10" s="390">
        <f t="shared" ref="H10:H15" si="0">F10+G10</f>
        <v>1051986.2697999999</v>
      </c>
      <c r="I10" s="390">
        <v>51892.922500000008</v>
      </c>
      <c r="J10" s="392">
        <v>103072.45300000001</v>
      </c>
      <c r="K10" s="393">
        <f t="shared" ref="K10:K15" si="1">SUM(I10:J10)</f>
        <v>154965.37550000002</v>
      </c>
    </row>
    <row r="11" spans="1:12" x14ac:dyDescent="0.2">
      <c r="A11" s="123">
        <v>3</v>
      </c>
      <c r="B11" s="389" t="s">
        <v>464</v>
      </c>
      <c r="C11" s="390">
        <v>13183914.079999998</v>
      </c>
      <c r="D11" s="391">
        <v>5339493.0999999996</v>
      </c>
      <c r="E11" s="391">
        <f t="shared" ref="E11:E16" si="2">C11+D11</f>
        <v>18523407.18</v>
      </c>
      <c r="F11" s="391">
        <v>8093995.6437499998</v>
      </c>
      <c r="G11" s="391">
        <v>3057264.587749999</v>
      </c>
      <c r="H11" s="390">
        <f t="shared" si="0"/>
        <v>11151260.2315</v>
      </c>
      <c r="I11" s="390">
        <v>5474749.1875</v>
      </c>
      <c r="J11" s="392">
        <v>1346007.8814999999</v>
      </c>
      <c r="K11" s="393">
        <f t="shared" si="1"/>
        <v>6820757.0690000001</v>
      </c>
      <c r="L11" s="394"/>
    </row>
    <row r="12" spans="1:12" x14ac:dyDescent="0.2">
      <c r="A12" s="123">
        <v>4</v>
      </c>
      <c r="B12" s="389" t="s">
        <v>465</v>
      </c>
      <c r="C12" s="390">
        <v>15940340.780000001</v>
      </c>
      <c r="D12" s="391">
        <v>0</v>
      </c>
      <c r="E12" s="391">
        <f t="shared" si="2"/>
        <v>15940340.780000001</v>
      </c>
      <c r="F12" s="391"/>
      <c r="G12" s="391"/>
      <c r="H12" s="390">
        <f t="shared" si="0"/>
        <v>0</v>
      </c>
      <c r="I12" s="390"/>
      <c r="J12" s="392">
        <v>0</v>
      </c>
      <c r="K12" s="393">
        <f t="shared" si="1"/>
        <v>0</v>
      </c>
      <c r="L12" s="394"/>
    </row>
    <row r="13" spans="1:12" x14ac:dyDescent="0.2">
      <c r="A13" s="123">
        <v>5</v>
      </c>
      <c r="B13" s="389" t="s">
        <v>466</v>
      </c>
      <c r="C13" s="390">
        <v>637906.57000000007</v>
      </c>
      <c r="D13" s="391">
        <v>59916.21</v>
      </c>
      <c r="E13" s="391">
        <f t="shared" si="2"/>
        <v>697822.78</v>
      </c>
      <c r="F13" s="391">
        <v>72395.46590000001</v>
      </c>
      <c r="G13" s="391">
        <v>2996.7190000000001</v>
      </c>
      <c r="H13" s="390">
        <f t="shared" si="0"/>
        <v>75392.184900000007</v>
      </c>
      <c r="I13" s="390">
        <v>32282.972500000003</v>
      </c>
      <c r="J13" s="392">
        <v>4493.2615000000005</v>
      </c>
      <c r="K13" s="393">
        <f t="shared" si="1"/>
        <v>36776.234000000004</v>
      </c>
    </row>
    <row r="14" spans="1:12" x14ac:dyDescent="0.2">
      <c r="A14" s="123">
        <v>6</v>
      </c>
      <c r="B14" s="389" t="s">
        <v>467</v>
      </c>
      <c r="C14" s="390"/>
      <c r="D14" s="391"/>
      <c r="E14" s="391">
        <f t="shared" si="2"/>
        <v>0</v>
      </c>
      <c r="F14" s="391">
        <v>0</v>
      </c>
      <c r="G14" s="391">
        <v>0</v>
      </c>
      <c r="H14" s="390">
        <f t="shared" si="0"/>
        <v>0</v>
      </c>
      <c r="I14" s="390">
        <v>0</v>
      </c>
      <c r="J14" s="392">
        <v>0</v>
      </c>
      <c r="K14" s="393">
        <f t="shared" si="1"/>
        <v>0</v>
      </c>
    </row>
    <row r="15" spans="1:12" x14ac:dyDescent="0.2">
      <c r="A15" s="123">
        <v>7</v>
      </c>
      <c r="B15" s="389" t="s">
        <v>468</v>
      </c>
      <c r="C15" s="390">
        <v>1143512.97</v>
      </c>
      <c r="D15" s="391">
        <v>611650.42999999993</v>
      </c>
      <c r="E15" s="391">
        <f t="shared" si="2"/>
        <v>1755163.4</v>
      </c>
      <c r="F15" s="391">
        <v>754558.69</v>
      </c>
      <c r="G15" s="391">
        <v>604164.47</v>
      </c>
      <c r="H15" s="390">
        <f t="shared" si="0"/>
        <v>1358723.16</v>
      </c>
      <c r="I15" s="390">
        <v>754558.69</v>
      </c>
      <c r="J15" s="392">
        <v>604164.47</v>
      </c>
      <c r="K15" s="393">
        <f t="shared" si="1"/>
        <v>1358723.16</v>
      </c>
    </row>
    <row r="16" spans="1:12" x14ac:dyDescent="0.2">
      <c r="A16" s="123">
        <v>8</v>
      </c>
      <c r="B16" s="395" t="s">
        <v>469</v>
      </c>
      <c r="C16" s="390">
        <f>SUM(C10:C15)</f>
        <v>33327677.27</v>
      </c>
      <c r="D16" s="390">
        <f>SUM(D10:D15)</f>
        <v>7948535.7499999991</v>
      </c>
      <c r="E16" s="391">
        <f t="shared" si="2"/>
        <v>41276213.019999996</v>
      </c>
      <c r="F16" s="391">
        <f>SUM(F10:F15)</f>
        <v>9230837.3193999995</v>
      </c>
      <c r="G16" s="391">
        <f>SUM(G10:G15)</f>
        <v>4406524.5267999992</v>
      </c>
      <c r="H16" s="390">
        <f>F16+G16</f>
        <v>13637361.846199999</v>
      </c>
      <c r="I16" s="392">
        <f>SUM(I10:I15)</f>
        <v>6313483.7725000009</v>
      </c>
      <c r="J16" s="392">
        <f>SUM(J10:J15)</f>
        <v>2057738.0659999999</v>
      </c>
      <c r="K16" s="393">
        <f>SUM(K10:K15)</f>
        <v>8371221.8385000005</v>
      </c>
    </row>
    <row r="17" spans="1:11" x14ac:dyDescent="0.2">
      <c r="A17" s="379" t="s">
        <v>470</v>
      </c>
      <c r="B17" s="380"/>
      <c r="C17" s="387"/>
      <c r="D17" s="387"/>
      <c r="E17" s="387"/>
      <c r="F17" s="387"/>
      <c r="G17" s="387"/>
      <c r="H17" s="387"/>
      <c r="I17" s="387"/>
      <c r="J17" s="387"/>
      <c r="K17" s="388"/>
    </row>
    <row r="18" spans="1:11" x14ac:dyDescent="0.2">
      <c r="A18" s="123">
        <v>9</v>
      </c>
      <c r="B18" s="389" t="s">
        <v>471</v>
      </c>
      <c r="C18" s="390">
        <v>0</v>
      </c>
      <c r="D18" s="391">
        <v>0</v>
      </c>
      <c r="E18" s="391">
        <f>C18+D18</f>
        <v>0</v>
      </c>
      <c r="F18" s="391"/>
      <c r="G18" s="391"/>
      <c r="H18" s="391">
        <f>SUM(F18:G18)</f>
        <v>0</v>
      </c>
      <c r="I18" s="391"/>
      <c r="J18" s="391"/>
      <c r="K18" s="393">
        <f>SUM(I18:J18)</f>
        <v>0</v>
      </c>
    </row>
    <row r="19" spans="1:11" x14ac:dyDescent="0.2">
      <c r="A19" s="123">
        <v>10</v>
      </c>
      <c r="B19" s="389" t="s">
        <v>472</v>
      </c>
      <c r="C19" s="390">
        <v>14626663.629999999</v>
      </c>
      <c r="D19" s="391">
        <v>13020657.32</v>
      </c>
      <c r="E19" s="391">
        <f>C19+D19</f>
        <v>27647320.949999999</v>
      </c>
      <c r="F19" s="391">
        <v>143339.65000000002</v>
      </c>
      <c r="G19" s="391">
        <v>24429.24</v>
      </c>
      <c r="H19" s="391">
        <f>SUM(F19:G19)</f>
        <v>167768.89000000001</v>
      </c>
      <c r="I19" s="390">
        <v>3591607.44</v>
      </c>
      <c r="J19" s="392">
        <v>10943626.059999999</v>
      </c>
      <c r="K19" s="393">
        <f>SUM(I19:J19)</f>
        <v>14535233.499999998</v>
      </c>
    </row>
    <row r="20" spans="1:11" x14ac:dyDescent="0.2">
      <c r="A20" s="123">
        <v>11</v>
      </c>
      <c r="B20" s="389" t="s">
        <v>473</v>
      </c>
      <c r="C20" s="390">
        <v>3454828.36</v>
      </c>
      <c r="D20" s="391">
        <v>0</v>
      </c>
      <c r="E20" s="391">
        <f>C20+D20</f>
        <v>3454828.36</v>
      </c>
      <c r="F20" s="391">
        <v>600028.43999999994</v>
      </c>
      <c r="G20" s="391">
        <v>0</v>
      </c>
      <c r="H20" s="391">
        <f>SUM(F20:G20)</f>
        <v>600028.43999999994</v>
      </c>
      <c r="I20" s="391">
        <v>600028.43999999994</v>
      </c>
      <c r="J20" s="391">
        <v>0</v>
      </c>
      <c r="K20" s="393">
        <f>SUM(I20:J20)</f>
        <v>600028.43999999994</v>
      </c>
    </row>
    <row r="21" spans="1:11" ht="13.5" thickBot="1" x14ac:dyDescent="0.25">
      <c r="A21" s="132">
        <v>12</v>
      </c>
      <c r="B21" s="396" t="s">
        <v>474</v>
      </c>
      <c r="C21" s="397">
        <f>SUM(C18:C20)</f>
        <v>18081491.989999998</v>
      </c>
      <c r="D21" s="397">
        <f>SUM(D18:D20)</f>
        <v>13020657.32</v>
      </c>
      <c r="E21" s="397">
        <f>C21+D21</f>
        <v>31102149.309999999</v>
      </c>
      <c r="F21" s="398">
        <f>SUM(F18:F20)</f>
        <v>743368.09</v>
      </c>
      <c r="G21" s="398">
        <f>SUM(G18:G20)</f>
        <v>24429.24</v>
      </c>
      <c r="H21" s="398">
        <f>SUM(H18:H20)</f>
        <v>767797.33</v>
      </c>
      <c r="I21" s="398">
        <f>SUM(I18:I20)</f>
        <v>4191635.88</v>
      </c>
      <c r="J21" s="398">
        <f>SUM(J18:J20)</f>
        <v>10943626.059999999</v>
      </c>
      <c r="K21" s="393">
        <f>SUM(I21:J21)</f>
        <v>15135261.939999998</v>
      </c>
    </row>
    <row r="22" spans="1:11" ht="38.25" customHeight="1" thickBot="1" x14ac:dyDescent="0.25">
      <c r="A22" s="399"/>
      <c r="B22" s="400"/>
      <c r="C22" s="400"/>
      <c r="D22" s="400"/>
      <c r="E22" s="400"/>
      <c r="F22" s="676" t="s">
        <v>475</v>
      </c>
      <c r="G22" s="674"/>
      <c r="H22" s="674"/>
      <c r="I22" s="676" t="s">
        <v>476</v>
      </c>
      <c r="J22" s="674"/>
      <c r="K22" s="675"/>
    </row>
    <row r="23" spans="1:11" x14ac:dyDescent="0.2">
      <c r="A23" s="401">
        <v>13</v>
      </c>
      <c r="B23" s="402" t="s">
        <v>461</v>
      </c>
      <c r="C23" s="403"/>
      <c r="D23" s="403"/>
      <c r="E23" s="403"/>
      <c r="F23" s="404">
        <f>F8</f>
        <v>24819543.313626397</v>
      </c>
      <c r="G23" s="404">
        <f>G8</f>
        <v>12758101.82</v>
      </c>
      <c r="H23" s="404">
        <f>F23+G23</f>
        <v>37577645.133626401</v>
      </c>
      <c r="I23" s="404">
        <f>I8</f>
        <v>21371275.523626398</v>
      </c>
      <c r="J23" s="404">
        <f>J8</f>
        <v>1840040.5899999999</v>
      </c>
      <c r="K23" s="405">
        <f>I23+J23</f>
        <v>23211316.113626398</v>
      </c>
    </row>
    <row r="24" spans="1:11" ht="13.5" thickBot="1" x14ac:dyDescent="0.25">
      <c r="A24" s="406">
        <v>14</v>
      </c>
      <c r="B24" s="407" t="s">
        <v>477</v>
      </c>
      <c r="C24" s="408"/>
      <c r="D24" s="409"/>
      <c r="E24" s="410"/>
      <c r="F24" s="411">
        <v>8487469.2294000015</v>
      </c>
      <c r="G24" s="411">
        <v>4382095.286799999</v>
      </c>
      <c r="H24" s="411">
        <f>F24+G24</f>
        <v>12869564.5162</v>
      </c>
      <c r="I24" s="390">
        <v>2121847.892500001</v>
      </c>
      <c r="J24" s="390">
        <v>514434.51649999997</v>
      </c>
      <c r="K24" s="412">
        <v>2119971.3997499999</v>
      </c>
    </row>
    <row r="25" spans="1:11" ht="13.5" thickBot="1" x14ac:dyDescent="0.25">
      <c r="A25" s="413">
        <v>15</v>
      </c>
      <c r="B25" s="414" t="s">
        <v>70</v>
      </c>
      <c r="C25" s="415"/>
      <c r="D25" s="415"/>
      <c r="E25" s="415"/>
      <c r="F25" s="416">
        <f t="shared" ref="F25:K25" si="3">F23/F24</f>
        <v>2.924257236497922</v>
      </c>
      <c r="G25" s="416">
        <f t="shared" si="3"/>
        <v>2.9114158832717978</v>
      </c>
      <c r="H25" s="416">
        <f t="shared" si="3"/>
        <v>2.9198847471741773</v>
      </c>
      <c r="I25" s="416">
        <f t="shared" si="3"/>
        <v>10.072011098988986</v>
      </c>
      <c r="J25" s="416">
        <f t="shared" si="3"/>
        <v>3.5768217936052897</v>
      </c>
      <c r="K25" s="417">
        <f t="shared" si="3"/>
        <v>10.948881723764584</v>
      </c>
    </row>
    <row r="28" spans="1:11" ht="63.75" x14ac:dyDescent="0.2">
      <c r="B28" s="152" t="s">
        <v>478</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AD01-0ED2-467F-A9C2-6AA9DB177E49}">
  <dimension ref="A1:N24"/>
  <sheetViews>
    <sheetView zoomScale="90" zoomScaleNormal="90" workbookViewId="0">
      <pane xSplit="1" ySplit="5" topLeftCell="B6" activePane="bottomRight" state="frozen"/>
      <selection activeCell="B3" sqref="B3"/>
      <selection pane="topRight" activeCell="B3" sqref="B3"/>
      <selection pane="bottomLeft" activeCell="B3" sqref="B3"/>
      <selection pane="bottomRight" activeCell="C8" sqref="C8"/>
    </sheetView>
  </sheetViews>
  <sheetFormatPr defaultColWidth="9.140625" defaultRowHeight="15" x14ac:dyDescent="0.3"/>
  <cols>
    <col min="1" max="1" width="10.5703125" style="280" bestFit="1" customWidth="1"/>
    <col min="2" max="2" width="79.85546875" style="280" customWidth="1"/>
    <col min="3" max="3" width="16.5703125" style="280" customWidth="1"/>
    <col min="4" max="4" width="13.140625" style="280" customWidth="1"/>
    <col min="5" max="5" width="18.28515625" style="280" bestFit="1" customWidth="1"/>
    <col min="6" max="13" width="10.7109375" style="280" customWidth="1"/>
    <col min="14" max="14" width="31" style="280" bestFit="1" customWidth="1"/>
    <col min="15" max="16384" width="9.140625" style="88"/>
  </cols>
  <sheetData>
    <row r="1" spans="1:14" x14ac:dyDescent="0.3">
      <c r="A1" s="17" t="s">
        <v>30</v>
      </c>
      <c r="B1" s="280" t="s">
        <v>2</v>
      </c>
    </row>
    <row r="2" spans="1:14" ht="14.25" customHeight="1" x14ac:dyDescent="0.3">
      <c r="A2" s="280" t="s">
        <v>31</v>
      </c>
      <c r="B2" s="418">
        <v>44742</v>
      </c>
    </row>
    <row r="3" spans="1:14" ht="14.25" customHeight="1" x14ac:dyDescent="0.3"/>
    <row r="4" spans="1:14" ht="15.75" thickBot="1" x14ac:dyDescent="0.35">
      <c r="A4" s="17" t="s">
        <v>479</v>
      </c>
      <c r="B4" s="419" t="s">
        <v>28</v>
      </c>
    </row>
    <row r="5" spans="1:14" s="424" customFormat="1" ht="12.75" x14ac:dyDescent="0.2">
      <c r="A5" s="420"/>
      <c r="B5" s="421"/>
      <c r="C5" s="422" t="s">
        <v>276</v>
      </c>
      <c r="D5" s="422" t="s">
        <v>277</v>
      </c>
      <c r="E5" s="422" t="s">
        <v>278</v>
      </c>
      <c r="F5" s="422" t="s">
        <v>391</v>
      </c>
      <c r="G5" s="422" t="s">
        <v>392</v>
      </c>
      <c r="H5" s="422" t="s">
        <v>393</v>
      </c>
      <c r="I5" s="422" t="s">
        <v>394</v>
      </c>
      <c r="J5" s="422" t="s">
        <v>395</v>
      </c>
      <c r="K5" s="422" t="s">
        <v>396</v>
      </c>
      <c r="L5" s="422" t="s">
        <v>397</v>
      </c>
      <c r="M5" s="422" t="s">
        <v>398</v>
      </c>
      <c r="N5" s="423" t="s">
        <v>399</v>
      </c>
    </row>
    <row r="6" spans="1:14" ht="45" x14ac:dyDescent="0.3">
      <c r="A6" s="425"/>
      <c r="B6" s="426"/>
      <c r="C6" s="427" t="s">
        <v>480</v>
      </c>
      <c r="D6" s="428" t="s">
        <v>481</v>
      </c>
      <c r="E6" s="429" t="s">
        <v>482</v>
      </c>
      <c r="F6" s="430">
        <v>0</v>
      </c>
      <c r="G6" s="430">
        <v>0.2</v>
      </c>
      <c r="H6" s="430">
        <v>0.35</v>
      </c>
      <c r="I6" s="430">
        <v>0.5</v>
      </c>
      <c r="J6" s="430">
        <v>0.75</v>
      </c>
      <c r="K6" s="430">
        <v>1</v>
      </c>
      <c r="L6" s="430">
        <v>1.5</v>
      </c>
      <c r="M6" s="430">
        <v>2.5</v>
      </c>
      <c r="N6" s="431" t="s">
        <v>28</v>
      </c>
    </row>
    <row r="7" spans="1:14" x14ac:dyDescent="0.3">
      <c r="A7" s="432">
        <v>1</v>
      </c>
      <c r="B7" s="433" t="s">
        <v>483</v>
      </c>
      <c r="C7" s="434">
        <f>SUM(C8:C13)</f>
        <v>9825000</v>
      </c>
      <c r="D7" s="426"/>
      <c r="E7" s="435">
        <f t="shared" ref="E7:M7" si="0">SUM(E8:E13)</f>
        <v>196500</v>
      </c>
      <c r="F7" s="434">
        <f>SUM(F8:F13)</f>
        <v>0</v>
      </c>
      <c r="G7" s="434">
        <f t="shared" si="0"/>
        <v>0</v>
      </c>
      <c r="H7" s="434">
        <f t="shared" si="0"/>
        <v>0</v>
      </c>
      <c r="I7" s="434">
        <f t="shared" si="0"/>
        <v>0</v>
      </c>
      <c r="J7" s="434">
        <f t="shared" si="0"/>
        <v>0</v>
      </c>
      <c r="K7" s="434">
        <f t="shared" si="0"/>
        <v>196500</v>
      </c>
      <c r="L7" s="434">
        <f t="shared" si="0"/>
        <v>0</v>
      </c>
      <c r="M7" s="434">
        <f t="shared" si="0"/>
        <v>0</v>
      </c>
      <c r="N7" s="436">
        <f>SUM(N8:N13)</f>
        <v>196500</v>
      </c>
    </row>
    <row r="8" spans="1:14" x14ac:dyDescent="0.3">
      <c r="A8" s="432">
        <v>1.1000000000000001</v>
      </c>
      <c r="B8" s="437" t="s">
        <v>484</v>
      </c>
      <c r="C8" s="438">
        <v>9825000</v>
      </c>
      <c r="D8" s="439">
        <v>0.02</v>
      </c>
      <c r="E8" s="435">
        <f>C8*D8</f>
        <v>196500</v>
      </c>
      <c r="F8" s="438"/>
      <c r="G8" s="438"/>
      <c r="H8" s="438"/>
      <c r="I8" s="438"/>
      <c r="J8" s="438"/>
      <c r="K8" s="438">
        <f>E8</f>
        <v>196500</v>
      </c>
      <c r="L8" s="438"/>
      <c r="M8" s="438"/>
      <c r="N8" s="436">
        <f t="shared" ref="N8:N13" si="1">SUMPRODUCT($F$6:$M$6,F8:M8)</f>
        <v>196500</v>
      </c>
    </row>
    <row r="9" spans="1:14" x14ac:dyDescent="0.3">
      <c r="A9" s="432">
        <v>1.2</v>
      </c>
      <c r="B9" s="437" t="s">
        <v>485</v>
      </c>
      <c r="C9" s="438">
        <v>0</v>
      </c>
      <c r="D9" s="439">
        <v>0.05</v>
      </c>
      <c r="E9" s="435">
        <f>C9*D9</f>
        <v>0</v>
      </c>
      <c r="F9" s="438"/>
      <c r="G9" s="438"/>
      <c r="H9" s="438"/>
      <c r="I9" s="438"/>
      <c r="J9" s="438"/>
      <c r="K9" s="438"/>
      <c r="L9" s="438"/>
      <c r="M9" s="438"/>
      <c r="N9" s="436">
        <f t="shared" si="1"/>
        <v>0</v>
      </c>
    </row>
    <row r="10" spans="1:14" x14ac:dyDescent="0.3">
      <c r="A10" s="432">
        <v>1.3</v>
      </c>
      <c r="B10" s="437" t="s">
        <v>486</v>
      </c>
      <c r="C10" s="438">
        <v>0</v>
      </c>
      <c r="D10" s="439">
        <v>0.08</v>
      </c>
      <c r="E10" s="435">
        <f>C10*D10</f>
        <v>0</v>
      </c>
      <c r="F10" s="438"/>
      <c r="G10" s="438"/>
      <c r="H10" s="438"/>
      <c r="I10" s="438"/>
      <c r="J10" s="438"/>
      <c r="K10" s="438"/>
      <c r="L10" s="438"/>
      <c r="M10" s="438"/>
      <c r="N10" s="436">
        <f t="shared" si="1"/>
        <v>0</v>
      </c>
    </row>
    <row r="11" spans="1:14" x14ac:dyDescent="0.3">
      <c r="A11" s="432">
        <v>1.4</v>
      </c>
      <c r="B11" s="437" t="s">
        <v>487</v>
      </c>
      <c r="C11" s="438">
        <v>0</v>
      </c>
      <c r="D11" s="439">
        <v>0.11</v>
      </c>
      <c r="E11" s="435">
        <f>C11*D11</f>
        <v>0</v>
      </c>
      <c r="F11" s="438"/>
      <c r="G11" s="438"/>
      <c r="H11" s="438"/>
      <c r="I11" s="438"/>
      <c r="J11" s="438"/>
      <c r="K11" s="438"/>
      <c r="L11" s="438"/>
      <c r="M11" s="438"/>
      <c r="N11" s="436">
        <f t="shared" si="1"/>
        <v>0</v>
      </c>
    </row>
    <row r="12" spans="1:14" x14ac:dyDescent="0.3">
      <c r="A12" s="432">
        <v>1.5</v>
      </c>
      <c r="B12" s="437" t="s">
        <v>488</v>
      </c>
      <c r="C12" s="438">
        <v>0</v>
      </c>
      <c r="D12" s="439">
        <v>0.14000000000000001</v>
      </c>
      <c r="E12" s="435">
        <f>C12*D12</f>
        <v>0</v>
      </c>
      <c r="F12" s="438"/>
      <c r="G12" s="438"/>
      <c r="H12" s="438"/>
      <c r="I12" s="438"/>
      <c r="J12" s="438"/>
      <c r="K12" s="438"/>
      <c r="L12" s="438"/>
      <c r="M12" s="438"/>
      <c r="N12" s="436">
        <f t="shared" si="1"/>
        <v>0</v>
      </c>
    </row>
    <row r="13" spans="1:14" x14ac:dyDescent="0.3">
      <c r="A13" s="432">
        <v>1.6</v>
      </c>
      <c r="B13" s="440" t="s">
        <v>489</v>
      </c>
      <c r="C13" s="438">
        <v>0</v>
      </c>
      <c r="D13" s="441"/>
      <c r="E13" s="438"/>
      <c r="F13" s="438"/>
      <c r="G13" s="438"/>
      <c r="H13" s="438"/>
      <c r="I13" s="438"/>
      <c r="J13" s="438"/>
      <c r="K13" s="438"/>
      <c r="L13" s="438"/>
      <c r="M13" s="438"/>
      <c r="N13" s="436">
        <f t="shared" si="1"/>
        <v>0</v>
      </c>
    </row>
    <row r="14" spans="1:14" x14ac:dyDescent="0.3">
      <c r="A14" s="432">
        <v>2</v>
      </c>
      <c r="B14" s="442" t="s">
        <v>490</v>
      </c>
      <c r="C14" s="434">
        <f>SUM(C15:C20)</f>
        <v>0</v>
      </c>
      <c r="D14" s="426"/>
      <c r="E14" s="435">
        <f t="shared" ref="E14:M14" si="2">SUM(E15:E20)</f>
        <v>0</v>
      </c>
      <c r="F14" s="438">
        <f t="shared" si="2"/>
        <v>0</v>
      </c>
      <c r="G14" s="438">
        <f t="shared" si="2"/>
        <v>0</v>
      </c>
      <c r="H14" s="438">
        <f t="shared" si="2"/>
        <v>0</v>
      </c>
      <c r="I14" s="438">
        <f t="shared" si="2"/>
        <v>0</v>
      </c>
      <c r="J14" s="438">
        <f t="shared" si="2"/>
        <v>0</v>
      </c>
      <c r="K14" s="438">
        <f t="shared" si="2"/>
        <v>0</v>
      </c>
      <c r="L14" s="438">
        <f t="shared" si="2"/>
        <v>0</v>
      </c>
      <c r="M14" s="438">
        <f t="shared" si="2"/>
        <v>0</v>
      </c>
      <c r="N14" s="436">
        <f>SUM(N15:N20)</f>
        <v>0</v>
      </c>
    </row>
    <row r="15" spans="1:14" x14ac:dyDescent="0.3">
      <c r="A15" s="432">
        <v>2.1</v>
      </c>
      <c r="B15" s="440" t="s">
        <v>484</v>
      </c>
      <c r="C15" s="438"/>
      <c r="D15" s="439">
        <v>5.0000000000000001E-3</v>
      </c>
      <c r="E15" s="435">
        <f>C15*D15</f>
        <v>0</v>
      </c>
      <c r="F15" s="438"/>
      <c r="G15" s="438"/>
      <c r="H15" s="438"/>
      <c r="I15" s="438"/>
      <c r="J15" s="438"/>
      <c r="K15" s="438"/>
      <c r="L15" s="438"/>
      <c r="M15" s="438"/>
      <c r="N15" s="436">
        <f t="shared" ref="N15:N20" si="3">SUMPRODUCT($F$6:$M$6,F15:M15)</f>
        <v>0</v>
      </c>
    </row>
    <row r="16" spans="1:14" x14ac:dyDescent="0.3">
      <c r="A16" s="432">
        <v>2.2000000000000002</v>
      </c>
      <c r="B16" s="440" t="s">
        <v>485</v>
      </c>
      <c r="C16" s="438"/>
      <c r="D16" s="439">
        <v>0.01</v>
      </c>
      <c r="E16" s="435">
        <f>C16*D16</f>
        <v>0</v>
      </c>
      <c r="F16" s="438"/>
      <c r="G16" s="438"/>
      <c r="H16" s="438"/>
      <c r="I16" s="438"/>
      <c r="J16" s="438"/>
      <c r="K16" s="438"/>
      <c r="L16" s="438"/>
      <c r="M16" s="438"/>
      <c r="N16" s="436">
        <f t="shared" si="3"/>
        <v>0</v>
      </c>
    </row>
    <row r="17" spans="1:14" x14ac:dyDescent="0.3">
      <c r="A17" s="432">
        <v>2.2999999999999998</v>
      </c>
      <c r="B17" s="440" t="s">
        <v>486</v>
      </c>
      <c r="C17" s="438"/>
      <c r="D17" s="439">
        <v>0.02</v>
      </c>
      <c r="E17" s="435">
        <f>C17*D17</f>
        <v>0</v>
      </c>
      <c r="F17" s="438"/>
      <c r="G17" s="438"/>
      <c r="H17" s="438"/>
      <c r="I17" s="438"/>
      <c r="J17" s="438"/>
      <c r="K17" s="438"/>
      <c r="L17" s="438"/>
      <c r="M17" s="438"/>
      <c r="N17" s="436">
        <f t="shared" si="3"/>
        <v>0</v>
      </c>
    </row>
    <row r="18" spans="1:14" x14ac:dyDescent="0.3">
      <c r="A18" s="432">
        <v>2.4</v>
      </c>
      <c r="B18" s="440" t="s">
        <v>487</v>
      </c>
      <c r="C18" s="438"/>
      <c r="D18" s="439">
        <v>0.03</v>
      </c>
      <c r="E18" s="435">
        <f>C18*D18</f>
        <v>0</v>
      </c>
      <c r="F18" s="438"/>
      <c r="G18" s="438"/>
      <c r="H18" s="438"/>
      <c r="I18" s="438"/>
      <c r="J18" s="438"/>
      <c r="K18" s="438"/>
      <c r="L18" s="438"/>
      <c r="M18" s="438"/>
      <c r="N18" s="436">
        <f t="shared" si="3"/>
        <v>0</v>
      </c>
    </row>
    <row r="19" spans="1:14" x14ac:dyDescent="0.3">
      <c r="A19" s="432">
        <v>2.5</v>
      </c>
      <c r="B19" s="440" t="s">
        <v>488</v>
      </c>
      <c r="C19" s="438"/>
      <c r="D19" s="439">
        <v>0.04</v>
      </c>
      <c r="E19" s="435">
        <f>C19*D19</f>
        <v>0</v>
      </c>
      <c r="F19" s="438"/>
      <c r="G19" s="438"/>
      <c r="H19" s="438"/>
      <c r="I19" s="438"/>
      <c r="J19" s="438"/>
      <c r="K19" s="438"/>
      <c r="L19" s="438"/>
      <c r="M19" s="438"/>
      <c r="N19" s="436">
        <f t="shared" si="3"/>
        <v>0</v>
      </c>
    </row>
    <row r="20" spans="1:14" x14ac:dyDescent="0.3">
      <c r="A20" s="432">
        <v>2.6</v>
      </c>
      <c r="B20" s="440" t="s">
        <v>489</v>
      </c>
      <c r="C20" s="438"/>
      <c r="D20" s="441"/>
      <c r="E20" s="443"/>
      <c r="F20" s="438"/>
      <c r="G20" s="438"/>
      <c r="H20" s="438"/>
      <c r="I20" s="438"/>
      <c r="J20" s="438"/>
      <c r="K20" s="438"/>
      <c r="L20" s="438"/>
      <c r="M20" s="438"/>
      <c r="N20" s="436">
        <f t="shared" si="3"/>
        <v>0</v>
      </c>
    </row>
    <row r="21" spans="1:14" ht="15.75" thickBot="1" x14ac:dyDescent="0.35">
      <c r="A21" s="444">
        <v>3</v>
      </c>
      <c r="B21" s="445" t="s">
        <v>84</v>
      </c>
      <c r="C21" s="446">
        <f>C14+C7</f>
        <v>9825000</v>
      </c>
      <c r="D21" s="447"/>
      <c r="E21" s="448">
        <f>E14+E7</f>
        <v>196500</v>
      </c>
      <c r="F21" s="449">
        <f>F7+F14</f>
        <v>0</v>
      </c>
      <c r="G21" s="449">
        <f t="shared" ref="G21:L21" si="4">G7+G14</f>
        <v>0</v>
      </c>
      <c r="H21" s="449">
        <f t="shared" si="4"/>
        <v>0</v>
      </c>
      <c r="I21" s="449">
        <f t="shared" si="4"/>
        <v>0</v>
      </c>
      <c r="J21" s="449">
        <f t="shared" si="4"/>
        <v>0</v>
      </c>
      <c r="K21" s="449">
        <f t="shared" si="4"/>
        <v>196500</v>
      </c>
      <c r="L21" s="449">
        <f t="shared" si="4"/>
        <v>0</v>
      </c>
      <c r="M21" s="449">
        <f>M7+M14</f>
        <v>0</v>
      </c>
      <c r="N21" s="450">
        <f>N14+N7</f>
        <v>196500</v>
      </c>
    </row>
    <row r="22" spans="1:14" x14ac:dyDescent="0.3">
      <c r="E22" s="318"/>
      <c r="F22" s="318"/>
      <c r="G22" s="318"/>
      <c r="H22" s="318"/>
      <c r="I22" s="318"/>
      <c r="J22" s="318"/>
      <c r="K22" s="318"/>
      <c r="L22" s="318"/>
      <c r="M22" s="318"/>
    </row>
    <row r="24" spans="1:14" x14ac:dyDescent="0.3">
      <c r="C24" s="451"/>
      <c r="E24" s="451"/>
      <c r="F24" s="451"/>
      <c r="G24" s="451"/>
      <c r="H24" s="451"/>
      <c r="I24" s="451"/>
      <c r="J24" s="451"/>
      <c r="K24" s="452"/>
      <c r="L24" s="451"/>
      <c r="M24" s="451"/>
      <c r="N24" s="451"/>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3803-AEBB-4B4E-B004-AC0424790696}">
  <dimension ref="A1:H41"/>
  <sheetViews>
    <sheetView topLeftCell="A15" workbookViewId="0">
      <selection activeCell="I27" sqref="I27"/>
    </sheetView>
  </sheetViews>
  <sheetFormatPr defaultRowHeight="15" x14ac:dyDescent="0.25"/>
  <cols>
    <col min="1" max="1" width="11.42578125" customWidth="1"/>
    <col min="2" max="2" width="76.85546875" style="211" customWidth="1"/>
    <col min="3" max="3" width="22.85546875" customWidth="1"/>
  </cols>
  <sheetData>
    <row r="1" spans="1:8" x14ac:dyDescent="0.25">
      <c r="A1" s="17" t="s">
        <v>30</v>
      </c>
      <c r="B1" t="s">
        <v>2</v>
      </c>
    </row>
    <row r="2" spans="1:8" x14ac:dyDescent="0.25">
      <c r="A2" s="17" t="s">
        <v>31</v>
      </c>
      <c r="B2" s="120">
        <v>44742</v>
      </c>
    </row>
    <row r="3" spans="1:8" x14ac:dyDescent="0.25">
      <c r="A3" s="17"/>
      <c r="B3"/>
    </row>
    <row r="4" spans="1:8" x14ac:dyDescent="0.25">
      <c r="A4" s="17" t="s">
        <v>491</v>
      </c>
      <c r="B4" t="s">
        <v>29</v>
      </c>
    </row>
    <row r="5" spans="1:8" x14ac:dyDescent="0.25">
      <c r="A5" s="453">
        <v>3</v>
      </c>
      <c r="B5" s="453" t="s">
        <v>492</v>
      </c>
      <c r="C5" s="454"/>
    </row>
    <row r="6" spans="1:8" x14ac:dyDescent="0.25">
      <c r="A6" s="455"/>
      <c r="B6" s="456" t="s">
        <v>493</v>
      </c>
      <c r="C6" s="457">
        <v>74889198.269999996</v>
      </c>
      <c r="H6" s="459"/>
    </row>
    <row r="7" spans="1:8" x14ac:dyDescent="0.25">
      <c r="A7" s="455">
        <v>4</v>
      </c>
      <c r="B7" s="456" t="s">
        <v>494</v>
      </c>
      <c r="C7" s="457">
        <v>-4267448.76</v>
      </c>
      <c r="H7" s="459"/>
    </row>
    <row r="8" spans="1:8" x14ac:dyDescent="0.25">
      <c r="A8" s="460">
        <v>5</v>
      </c>
      <c r="B8" s="461" t="s">
        <v>495</v>
      </c>
      <c r="C8" s="458">
        <v>70621749.50999999</v>
      </c>
      <c r="H8" s="459"/>
    </row>
    <row r="9" spans="1:8" x14ac:dyDescent="0.25">
      <c r="A9" s="462" t="s">
        <v>496</v>
      </c>
      <c r="B9" s="462" t="s">
        <v>497</v>
      </c>
      <c r="C9" s="463"/>
      <c r="H9" s="459"/>
    </row>
    <row r="10" spans="1:8" x14ac:dyDescent="0.25">
      <c r="A10" s="464">
        <v>6</v>
      </c>
      <c r="B10" s="465" t="s">
        <v>498</v>
      </c>
      <c r="C10" s="457"/>
      <c r="H10" s="459"/>
    </row>
    <row r="11" spans="1:8" x14ac:dyDescent="0.25">
      <c r="A11" s="464">
        <v>7</v>
      </c>
      <c r="B11" s="466" t="s">
        <v>499</v>
      </c>
      <c r="C11" s="457"/>
      <c r="H11" s="459"/>
    </row>
    <row r="12" spans="1:8" x14ac:dyDescent="0.25">
      <c r="A12" s="464">
        <v>8</v>
      </c>
      <c r="B12" s="456" t="s">
        <v>500</v>
      </c>
      <c r="C12" s="458">
        <v>196500</v>
      </c>
      <c r="H12" s="459"/>
    </row>
    <row r="13" spans="1:8" ht="24" x14ac:dyDescent="0.25">
      <c r="A13" s="467">
        <v>9</v>
      </c>
      <c r="B13" s="468" t="s">
        <v>501</v>
      </c>
      <c r="C13" s="457"/>
      <c r="H13" s="459"/>
    </row>
    <row r="14" spans="1:8" x14ac:dyDescent="0.25">
      <c r="A14" s="467">
        <v>10</v>
      </c>
      <c r="B14" s="469" t="s">
        <v>502</v>
      </c>
      <c r="C14" s="457"/>
      <c r="H14" s="459"/>
    </row>
    <row r="15" spans="1:8" x14ac:dyDescent="0.25">
      <c r="A15" s="470">
        <v>11</v>
      </c>
      <c r="B15" s="456" t="s">
        <v>503</v>
      </c>
      <c r="C15" s="457"/>
      <c r="H15" s="459"/>
    </row>
    <row r="16" spans="1:8" x14ac:dyDescent="0.25">
      <c r="A16" s="467"/>
      <c r="B16" s="469" t="s">
        <v>504</v>
      </c>
      <c r="C16" s="457"/>
      <c r="H16" s="459"/>
    </row>
    <row r="17" spans="1:8" x14ac:dyDescent="0.25">
      <c r="A17" s="467">
        <v>12</v>
      </c>
      <c r="B17" s="469" t="s">
        <v>505</v>
      </c>
      <c r="C17" s="457"/>
      <c r="H17" s="459"/>
    </row>
    <row r="18" spans="1:8" x14ac:dyDescent="0.25">
      <c r="A18" s="471">
        <v>13</v>
      </c>
      <c r="B18" s="472" t="s">
        <v>506</v>
      </c>
      <c r="C18" s="458">
        <v>196500</v>
      </c>
      <c r="H18" s="459"/>
    </row>
    <row r="19" spans="1:8" x14ac:dyDescent="0.25">
      <c r="A19" s="462">
        <v>14</v>
      </c>
      <c r="B19" s="462" t="s">
        <v>507</v>
      </c>
      <c r="C19" s="473"/>
      <c r="H19" s="459"/>
    </row>
    <row r="20" spans="1:8" ht="24" x14ac:dyDescent="0.25">
      <c r="A20" s="467" t="s">
        <v>508</v>
      </c>
      <c r="B20" s="465" t="s">
        <v>509</v>
      </c>
      <c r="C20" s="457"/>
      <c r="H20" s="459"/>
    </row>
    <row r="21" spans="1:8" x14ac:dyDescent="0.25">
      <c r="A21" s="467">
        <v>15</v>
      </c>
      <c r="B21" s="465" t="s">
        <v>510</v>
      </c>
      <c r="C21" s="457"/>
      <c r="H21" s="459"/>
    </row>
    <row r="22" spans="1:8" x14ac:dyDescent="0.25">
      <c r="A22" s="467" t="s">
        <v>511</v>
      </c>
      <c r="B22" s="465" t="s">
        <v>512</v>
      </c>
      <c r="C22" s="457"/>
      <c r="H22" s="459"/>
    </row>
    <row r="23" spans="1:8" x14ac:dyDescent="0.25">
      <c r="A23" s="467">
        <v>16</v>
      </c>
      <c r="B23" s="465" t="s">
        <v>513</v>
      </c>
      <c r="C23" s="457"/>
      <c r="H23" s="459"/>
    </row>
    <row r="24" spans="1:8" x14ac:dyDescent="0.25">
      <c r="A24" s="467"/>
      <c r="B24" s="465" t="s">
        <v>514</v>
      </c>
      <c r="C24" s="457"/>
      <c r="H24" s="459"/>
    </row>
    <row r="25" spans="1:8" x14ac:dyDescent="0.25">
      <c r="A25" s="467">
        <v>17</v>
      </c>
      <c r="B25" s="456" t="s">
        <v>515</v>
      </c>
      <c r="C25" s="457"/>
      <c r="H25" s="459"/>
    </row>
    <row r="26" spans="1:8" x14ac:dyDescent="0.25">
      <c r="A26" s="471">
        <v>18</v>
      </c>
      <c r="B26" s="472" t="s">
        <v>516</v>
      </c>
      <c r="C26" s="458">
        <v>0</v>
      </c>
      <c r="H26" s="459"/>
    </row>
    <row r="27" spans="1:8" x14ac:dyDescent="0.25">
      <c r="A27" s="462">
        <v>19</v>
      </c>
      <c r="B27" s="462" t="s">
        <v>517</v>
      </c>
      <c r="C27" s="463"/>
      <c r="H27" s="459"/>
    </row>
    <row r="28" spans="1:8" x14ac:dyDescent="0.25">
      <c r="A28" s="464"/>
      <c r="B28" s="456" t="s">
        <v>518</v>
      </c>
      <c r="C28" s="457">
        <v>1435570.39</v>
      </c>
      <c r="H28" s="459"/>
    </row>
    <row r="29" spans="1:8" x14ac:dyDescent="0.25">
      <c r="A29" s="464" t="s">
        <v>519</v>
      </c>
      <c r="B29" s="456" t="s">
        <v>520</v>
      </c>
      <c r="C29" s="457">
        <v>-105103</v>
      </c>
      <c r="H29" s="459"/>
    </row>
    <row r="30" spans="1:8" x14ac:dyDescent="0.25">
      <c r="A30" s="471" t="s">
        <v>521</v>
      </c>
      <c r="B30" s="472" t="s">
        <v>522</v>
      </c>
      <c r="C30" s="458">
        <v>1330467.3899999999</v>
      </c>
      <c r="H30" s="459"/>
    </row>
    <row r="31" spans="1:8" x14ac:dyDescent="0.25">
      <c r="A31" s="474"/>
      <c r="B31" s="462" t="s">
        <v>523</v>
      </c>
      <c r="C31" s="463"/>
      <c r="H31" s="459"/>
    </row>
    <row r="32" spans="1:8" x14ac:dyDescent="0.25">
      <c r="A32" s="464">
        <v>20</v>
      </c>
      <c r="B32" s="465" t="s">
        <v>42</v>
      </c>
      <c r="C32" s="475"/>
      <c r="H32" s="459"/>
    </row>
    <row r="33" spans="1:8" x14ac:dyDescent="0.25">
      <c r="A33" s="464">
        <v>21</v>
      </c>
      <c r="B33" s="466" t="s">
        <v>524</v>
      </c>
      <c r="C33" s="475"/>
      <c r="H33" s="459"/>
    </row>
    <row r="34" spans="1:8" x14ac:dyDescent="0.25">
      <c r="A34" s="462"/>
      <c r="B34" s="462" t="s">
        <v>29</v>
      </c>
      <c r="C34" s="463"/>
      <c r="H34" s="459"/>
    </row>
    <row r="35" spans="1:8" x14ac:dyDescent="0.25">
      <c r="A35" s="471">
        <v>22</v>
      </c>
      <c r="B35" s="472" t="s">
        <v>29</v>
      </c>
      <c r="C35" s="458">
        <v>47669109.719999999</v>
      </c>
      <c r="H35" s="459"/>
    </row>
    <row r="36" spans="1:8" x14ac:dyDescent="0.25">
      <c r="A36" s="471"/>
      <c r="B36" s="472" t="s">
        <v>525</v>
      </c>
      <c r="C36" s="458">
        <v>72148716.899999991</v>
      </c>
      <c r="H36" s="459"/>
    </row>
    <row r="37" spans="1:8" x14ac:dyDescent="0.25">
      <c r="A37" s="476" t="s">
        <v>526</v>
      </c>
      <c r="B37" s="476" t="s">
        <v>527</v>
      </c>
      <c r="C37" s="463"/>
      <c r="H37" s="459"/>
    </row>
    <row r="38" spans="1:8" ht="24" x14ac:dyDescent="0.25">
      <c r="A38" s="471" t="s">
        <v>528</v>
      </c>
      <c r="B38" s="472" t="s">
        <v>529</v>
      </c>
      <c r="C38" s="477">
        <v>0.6607062712711943</v>
      </c>
      <c r="H38" s="459"/>
    </row>
    <row r="39" spans="1:8" x14ac:dyDescent="0.25">
      <c r="A39" s="476"/>
      <c r="B39" s="476"/>
      <c r="C39" s="463"/>
      <c r="H39" s="459"/>
    </row>
    <row r="40" spans="1:8" x14ac:dyDescent="0.25">
      <c r="A40" s="478"/>
      <c r="B40" s="465"/>
      <c r="C40" s="475"/>
      <c r="H40" s="459"/>
    </row>
    <row r="41" spans="1:8" x14ac:dyDescent="0.25">
      <c r="A41" s="479"/>
      <c r="B41" s="466"/>
      <c r="C41" s="47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6667E-0123-416D-BE23-56ED420DBBB9}">
  <dimension ref="A1:J42"/>
  <sheetViews>
    <sheetView zoomScaleNormal="100" workbookViewId="0">
      <pane xSplit="2" ySplit="6" topLeftCell="C17" activePane="bottomRight" state="frozen"/>
      <selection activeCell="B3" sqref="B3"/>
      <selection pane="topRight" activeCell="B3" sqref="B3"/>
      <selection pane="bottomLeft" activeCell="B3" sqref="B3"/>
      <selection pane="bottomRight" activeCell="C8" sqref="C8:G39"/>
    </sheetView>
  </sheetViews>
  <sheetFormatPr defaultColWidth="8.85546875" defaultRowHeight="15" x14ac:dyDescent="0.25"/>
  <cols>
    <col min="1" max="1" width="9.85546875" style="17" bestFit="1" customWidth="1"/>
    <col min="2" max="2" width="82.7109375" style="152" customWidth="1"/>
    <col min="3" max="7" width="17.5703125" style="17" customWidth="1"/>
    <col min="8" max="8" width="19.42578125" customWidth="1"/>
    <col min="9" max="9" width="19.140625" style="49" customWidth="1"/>
  </cols>
  <sheetData>
    <row r="1" spans="1:10" x14ac:dyDescent="0.25">
      <c r="A1" s="17" t="s">
        <v>30</v>
      </c>
      <c r="B1" s="17" t="s">
        <v>2</v>
      </c>
    </row>
    <row r="2" spans="1:10" x14ac:dyDescent="0.25">
      <c r="A2" s="17" t="s">
        <v>31</v>
      </c>
      <c r="B2" s="62">
        <v>44742</v>
      </c>
    </row>
    <row r="3" spans="1:10" x14ac:dyDescent="0.25">
      <c r="B3" s="394"/>
    </row>
    <row r="4" spans="1:10" ht="15.75" thickBot="1" x14ac:dyDescent="0.3">
      <c r="A4" s="17" t="s">
        <v>530</v>
      </c>
      <c r="B4" s="322" t="s">
        <v>71</v>
      </c>
    </row>
    <row r="5" spans="1:10" ht="15" customHeight="1" x14ac:dyDescent="0.25">
      <c r="A5" s="480"/>
      <c r="B5" s="481"/>
      <c r="C5" s="677" t="s">
        <v>531</v>
      </c>
      <c r="D5" s="677"/>
      <c r="E5" s="677"/>
      <c r="F5" s="677"/>
      <c r="G5" s="678" t="s">
        <v>532</v>
      </c>
    </row>
    <row r="6" spans="1:10" x14ac:dyDescent="0.25">
      <c r="A6" s="482"/>
      <c r="B6" s="483"/>
      <c r="C6" s="484" t="s">
        <v>533</v>
      </c>
      <c r="D6" s="484" t="s">
        <v>534</v>
      </c>
      <c r="E6" s="484" t="s">
        <v>535</v>
      </c>
      <c r="F6" s="484" t="s">
        <v>536</v>
      </c>
      <c r="G6" s="679"/>
    </row>
    <row r="7" spans="1:10" x14ac:dyDescent="0.25">
      <c r="A7" s="485"/>
      <c r="B7" s="486" t="s">
        <v>72</v>
      </c>
      <c r="C7" s="487"/>
      <c r="D7" s="487"/>
      <c r="E7" s="487"/>
      <c r="F7" s="487"/>
      <c r="G7" s="488"/>
    </row>
    <row r="8" spans="1:10" x14ac:dyDescent="0.25">
      <c r="A8" s="367">
        <v>1</v>
      </c>
      <c r="B8" s="494" t="s">
        <v>537</v>
      </c>
      <c r="C8" s="489">
        <f>SUM(C9:C10)</f>
        <v>47669109.719999999</v>
      </c>
      <c r="D8" s="489">
        <f>SUM(D9:D10)</f>
        <v>0</v>
      </c>
      <c r="E8" s="489"/>
      <c r="F8" s="489">
        <f>SUM(F9:F10)</f>
        <v>4355000</v>
      </c>
      <c r="G8" s="490">
        <f>SUM(G9:G10)</f>
        <v>52024109.719999999</v>
      </c>
    </row>
    <row r="9" spans="1:10" x14ac:dyDescent="0.25">
      <c r="A9" s="367">
        <v>2</v>
      </c>
      <c r="B9" s="495" t="s">
        <v>20</v>
      </c>
      <c r="C9" s="489">
        <v>47669109.719999999</v>
      </c>
      <c r="D9" s="489"/>
      <c r="E9" s="489"/>
      <c r="F9" s="489">
        <f>'2. RC'!E30</f>
        <v>2500000</v>
      </c>
      <c r="G9" s="490">
        <f>SUM(C9:F9)*1</f>
        <v>50169109.719999999</v>
      </c>
      <c r="H9" s="589"/>
      <c r="I9" s="589"/>
    </row>
    <row r="10" spans="1:10" x14ac:dyDescent="0.25">
      <c r="A10" s="367">
        <v>3</v>
      </c>
      <c r="B10" s="495" t="s">
        <v>538</v>
      </c>
      <c r="C10" s="491"/>
      <c r="D10" s="491"/>
      <c r="E10" s="491"/>
      <c r="F10" s="489">
        <v>1855000</v>
      </c>
      <c r="G10" s="490">
        <f>SUM(C10:F10)*1</f>
        <v>1855000</v>
      </c>
      <c r="H10" s="589"/>
      <c r="I10" s="589"/>
    </row>
    <row r="11" spans="1:10" ht="26.25" x14ac:dyDescent="0.25">
      <c r="A11" s="367">
        <v>4</v>
      </c>
      <c r="B11" s="494" t="s">
        <v>539</v>
      </c>
      <c r="C11" s="489">
        <f>SUM(C12:C13)</f>
        <v>1707905.9400000002</v>
      </c>
      <c r="D11" s="489">
        <f>SUM(D12:D13)</f>
        <v>105112.40999999999</v>
      </c>
      <c r="E11" s="489">
        <f>SUM(E12:E13)</f>
        <v>0</v>
      </c>
      <c r="F11" s="489">
        <f>SUM(F12:F13)</f>
        <v>0</v>
      </c>
      <c r="G11" s="490">
        <f>SUM(G12:G13)</f>
        <v>1662572.2874999999</v>
      </c>
      <c r="I11" s="589"/>
    </row>
    <row r="12" spans="1:10" x14ac:dyDescent="0.25">
      <c r="A12" s="367">
        <v>5</v>
      </c>
      <c r="B12" s="495" t="s">
        <v>540</v>
      </c>
      <c r="C12" s="489">
        <v>1577027.84</v>
      </c>
      <c r="D12" s="496">
        <v>103112.40999999999</v>
      </c>
      <c r="E12" s="489">
        <v>0</v>
      </c>
      <c r="F12" s="489">
        <v>0</v>
      </c>
      <c r="G12" s="490">
        <f>SUM(C12:F12)*0.95</f>
        <v>1596133.2374999998</v>
      </c>
      <c r="H12" s="589"/>
      <c r="I12" s="589"/>
    </row>
    <row r="13" spans="1:10" x14ac:dyDescent="0.25">
      <c r="A13" s="367">
        <v>6</v>
      </c>
      <c r="B13" s="495" t="s">
        <v>541</v>
      </c>
      <c r="C13" s="489">
        <v>130878.09999999999</v>
      </c>
      <c r="D13" s="496">
        <v>2000</v>
      </c>
      <c r="E13" s="489">
        <v>0</v>
      </c>
      <c r="F13" s="489">
        <v>0</v>
      </c>
      <c r="G13" s="490">
        <f>SUM(C13:F13)*0.5</f>
        <v>66439.049999999988</v>
      </c>
      <c r="H13" s="589"/>
      <c r="I13" s="589"/>
    </row>
    <row r="14" spans="1:10" x14ac:dyDescent="0.25">
      <c r="A14" s="367">
        <v>7</v>
      </c>
      <c r="B14" s="494" t="s">
        <v>542</v>
      </c>
      <c r="C14" s="489">
        <f>SUM(C15:C16)</f>
        <v>4460324.49</v>
      </c>
      <c r="D14" s="489">
        <f>SUM(D15:D16)</f>
        <v>7500000</v>
      </c>
      <c r="E14" s="489">
        <f>SUM(E15:E16)</f>
        <v>0</v>
      </c>
      <c r="F14" s="489">
        <f>SUM(F15:F16)</f>
        <v>175146.80000000005</v>
      </c>
      <c r="G14" s="490">
        <f>SUM(G15:G16)</f>
        <v>2317735.645</v>
      </c>
      <c r="I14" s="590"/>
    </row>
    <row r="15" spans="1:10" ht="51.75" x14ac:dyDescent="0.25">
      <c r="A15" s="367">
        <v>8</v>
      </c>
      <c r="B15" s="495" t="s">
        <v>543</v>
      </c>
      <c r="C15" s="489">
        <v>4460324.49</v>
      </c>
      <c r="D15" s="496">
        <v>0</v>
      </c>
      <c r="E15" s="489">
        <v>0</v>
      </c>
      <c r="F15" s="489">
        <v>175146.80000000005</v>
      </c>
      <c r="G15" s="490">
        <f>SUM(C15,F15)*0.5</f>
        <v>2317735.645</v>
      </c>
      <c r="H15" s="589"/>
      <c r="I15" s="589"/>
    </row>
    <row r="16" spans="1:10" ht="26.25" x14ac:dyDescent="0.25">
      <c r="A16" s="367">
        <v>9</v>
      </c>
      <c r="B16" s="495" t="s">
        <v>544</v>
      </c>
      <c r="C16" s="489"/>
      <c r="D16" s="496">
        <f>'2. RC'!E27</f>
        <v>7500000</v>
      </c>
      <c r="E16" s="489"/>
      <c r="F16" s="489"/>
      <c r="G16" s="490">
        <f>C16*0+D16*0</f>
        <v>0</v>
      </c>
      <c r="I16" s="589"/>
      <c r="J16" s="497"/>
    </row>
    <row r="17" spans="1:10" x14ac:dyDescent="0.25">
      <c r="A17" s="367">
        <v>10</v>
      </c>
      <c r="B17" s="494" t="s">
        <v>545</v>
      </c>
      <c r="C17" s="489"/>
      <c r="D17" s="496"/>
      <c r="E17" s="489"/>
      <c r="F17" s="489"/>
      <c r="G17" s="490">
        <f>C17*0.5+D17*0</f>
        <v>0</v>
      </c>
      <c r="I17" s="590"/>
    </row>
    <row r="18" spans="1:10" x14ac:dyDescent="0.25">
      <c r="A18" s="367">
        <v>11</v>
      </c>
      <c r="B18" s="494" t="s">
        <v>107</v>
      </c>
      <c r="C18" s="489">
        <f>SUM(C19:C20)</f>
        <v>4273451.1100000003</v>
      </c>
      <c r="D18" s="496">
        <f>SUM(D19:D20)</f>
        <v>13185</v>
      </c>
      <c r="E18" s="489">
        <f>SUM(E19:E20)</f>
        <v>0</v>
      </c>
      <c r="F18" s="489">
        <f>SUM(F19:F20)</f>
        <v>0</v>
      </c>
      <c r="G18" s="490">
        <f>G20</f>
        <v>0</v>
      </c>
      <c r="I18" s="590"/>
    </row>
    <row r="19" spans="1:10" x14ac:dyDescent="0.25">
      <c r="A19" s="367">
        <v>12</v>
      </c>
      <c r="B19" s="495" t="s">
        <v>546</v>
      </c>
      <c r="C19" s="491"/>
      <c r="D19" s="496">
        <v>13185</v>
      </c>
      <c r="E19" s="489"/>
      <c r="F19" s="489"/>
      <c r="G19" s="490">
        <f>C19*0.5+D19*0</f>
        <v>0</v>
      </c>
      <c r="H19" s="589"/>
      <c r="I19" s="589"/>
    </row>
    <row r="20" spans="1:10" ht="26.25" x14ac:dyDescent="0.25">
      <c r="A20" s="367">
        <v>13</v>
      </c>
      <c r="B20" s="495" t="s">
        <v>547</v>
      </c>
      <c r="C20" s="489">
        <v>4273451.1100000003</v>
      </c>
      <c r="D20" s="489"/>
      <c r="E20" s="489"/>
      <c r="F20" s="489"/>
      <c r="G20" s="490">
        <v>0</v>
      </c>
      <c r="H20" s="589"/>
      <c r="I20" s="589"/>
    </row>
    <row r="21" spans="1:10" x14ac:dyDescent="0.25">
      <c r="A21" s="498">
        <v>14</v>
      </c>
      <c r="B21" s="499" t="s">
        <v>548</v>
      </c>
      <c r="C21" s="491"/>
      <c r="D21" s="491"/>
      <c r="E21" s="491"/>
      <c r="F21" s="491"/>
      <c r="G21" s="500">
        <f>SUM(G8,G11,G14,G17,G18)</f>
        <v>56004417.652500004</v>
      </c>
      <c r="H21" s="589"/>
      <c r="I21" s="589"/>
    </row>
    <row r="22" spans="1:10" x14ac:dyDescent="0.25">
      <c r="A22" s="501"/>
      <c r="B22" s="502" t="s">
        <v>73</v>
      </c>
      <c r="C22" s="503"/>
      <c r="D22" s="504"/>
      <c r="E22" s="503"/>
      <c r="F22" s="503"/>
      <c r="G22" s="505"/>
    </row>
    <row r="23" spans="1:10" x14ac:dyDescent="0.25">
      <c r="A23" s="367">
        <v>15</v>
      </c>
      <c r="B23" s="494" t="s">
        <v>461</v>
      </c>
      <c r="C23" s="493">
        <v>27269163.429499999</v>
      </c>
      <c r="D23" s="492">
        <v>8257000</v>
      </c>
      <c r="E23" s="493"/>
      <c r="F23" s="493">
        <v>29289</v>
      </c>
      <c r="G23" s="490">
        <v>1632304.9844749998</v>
      </c>
      <c r="I23" s="589"/>
      <c r="J23" s="119"/>
    </row>
    <row r="24" spans="1:10" x14ac:dyDescent="0.25">
      <c r="A24" s="367">
        <v>16</v>
      </c>
      <c r="B24" s="494" t="s">
        <v>549</v>
      </c>
      <c r="C24" s="489">
        <f>SUM(C25:C27,C29)</f>
        <v>1079.92</v>
      </c>
      <c r="D24" s="496">
        <f>SUM(D25:D27,D29)</f>
        <v>105337.61</v>
      </c>
      <c r="E24" s="489">
        <f>SUM(E25:E27,E29)</f>
        <v>4241151.3800000083</v>
      </c>
      <c r="F24" s="489">
        <f>SUM(F25:F27,F29,F31)</f>
        <v>10522992.950500002</v>
      </c>
      <c r="G24" s="490">
        <f>SUM(G25:G27,G29,G31)</f>
        <v>11117950.490925007</v>
      </c>
    </row>
    <row r="25" spans="1:10" ht="26.25" x14ac:dyDescent="0.25">
      <c r="A25" s="367">
        <v>17</v>
      </c>
      <c r="B25" s="495" t="s">
        <v>550</v>
      </c>
      <c r="C25" s="489">
        <v>0</v>
      </c>
      <c r="D25" s="496"/>
      <c r="E25" s="489"/>
      <c r="F25" s="489"/>
      <c r="G25" s="490"/>
    </row>
    <row r="26" spans="1:10" ht="26.25" x14ac:dyDescent="0.25">
      <c r="A26" s="367">
        <v>18</v>
      </c>
      <c r="B26" s="495" t="s">
        <v>551</v>
      </c>
      <c r="C26" s="489">
        <v>1079.92</v>
      </c>
      <c r="D26" s="496"/>
      <c r="E26" s="489"/>
      <c r="F26" s="489"/>
      <c r="G26" s="490">
        <f>C26*0.15</f>
        <v>161.988</v>
      </c>
      <c r="I26" s="589"/>
      <c r="J26" s="119"/>
    </row>
    <row r="27" spans="1:10" x14ac:dyDescent="0.25">
      <c r="A27" s="367">
        <v>19</v>
      </c>
      <c r="B27" s="495" t="s">
        <v>552</v>
      </c>
      <c r="C27" s="489">
        <v>0</v>
      </c>
      <c r="D27" s="496">
        <v>105337.61</v>
      </c>
      <c r="E27" s="489">
        <v>4241151.3800000083</v>
      </c>
      <c r="F27" s="489">
        <v>9304611.410000002</v>
      </c>
      <c r="G27" s="490">
        <f>(D27+E27)/2+F27*0.85</f>
        <v>10082164.193500007</v>
      </c>
      <c r="I27"/>
    </row>
    <row r="28" spans="1:10" x14ac:dyDescent="0.25">
      <c r="A28" s="367">
        <v>20</v>
      </c>
      <c r="B28" s="506" t="s">
        <v>553</v>
      </c>
      <c r="C28" s="489"/>
      <c r="D28" s="496"/>
      <c r="E28" s="489"/>
      <c r="F28" s="489"/>
      <c r="G28" s="490"/>
    </row>
    <row r="29" spans="1:10" x14ac:dyDescent="0.25">
      <c r="A29" s="367">
        <v>21</v>
      </c>
      <c r="B29" s="495" t="s">
        <v>554</v>
      </c>
      <c r="C29" s="489"/>
      <c r="D29" s="496"/>
      <c r="E29" s="489"/>
      <c r="F29" s="489"/>
      <c r="G29" s="490">
        <f>F29*0.85</f>
        <v>0</v>
      </c>
    </row>
    <row r="30" spans="1:10" x14ac:dyDescent="0.25">
      <c r="A30" s="367">
        <v>22</v>
      </c>
      <c r="B30" s="506" t="s">
        <v>553</v>
      </c>
      <c r="C30" s="489"/>
      <c r="D30" s="496"/>
      <c r="E30" s="489"/>
      <c r="F30" s="489"/>
      <c r="G30" s="490"/>
    </row>
    <row r="31" spans="1:10" ht="26.25" x14ac:dyDescent="0.25">
      <c r="A31" s="367">
        <v>23</v>
      </c>
      <c r="B31" s="495" t="s">
        <v>555</v>
      </c>
      <c r="C31" s="489"/>
      <c r="D31" s="496">
        <v>0</v>
      </c>
      <c r="E31" s="489">
        <v>0</v>
      </c>
      <c r="F31" s="489">
        <v>1218381.5405000001</v>
      </c>
      <c r="G31" s="490">
        <f>D31*0.05+F31*0.85+E31/2</f>
        <v>1035624.3094250001</v>
      </c>
      <c r="I31" s="589"/>
      <c r="J31" s="119"/>
    </row>
    <row r="32" spans="1:10" x14ac:dyDescent="0.25">
      <c r="A32" s="367">
        <v>24</v>
      </c>
      <c r="B32" s="494" t="s">
        <v>556</v>
      </c>
      <c r="C32" s="489"/>
      <c r="D32" s="496"/>
      <c r="E32" s="489"/>
      <c r="F32" s="489"/>
      <c r="G32" s="490"/>
      <c r="I32" s="589"/>
    </row>
    <row r="33" spans="1:9" x14ac:dyDescent="0.25">
      <c r="A33" s="367">
        <v>25</v>
      </c>
      <c r="B33" s="494" t="s">
        <v>97</v>
      </c>
      <c r="C33" s="489">
        <f>SUM(C34:C35)</f>
        <v>12070104.999999994</v>
      </c>
      <c r="D33" s="489">
        <f>SUM(D34:D35)</f>
        <v>2334462.5900000008</v>
      </c>
      <c r="E33" s="489">
        <f>SUM(E34:E35)</f>
        <v>0</v>
      </c>
      <c r="F33" s="489">
        <f>SUM(F34:F35)</f>
        <v>5577206.8000000026</v>
      </c>
      <c r="G33" s="490">
        <f>SUM(G34:G35)</f>
        <v>18895412.594999999</v>
      </c>
      <c r="I33"/>
    </row>
    <row r="34" spans="1:9" x14ac:dyDescent="0.25">
      <c r="A34" s="367">
        <v>26</v>
      </c>
      <c r="B34" s="495" t="s">
        <v>557</v>
      </c>
      <c r="C34" s="491"/>
      <c r="D34" s="496">
        <v>161739</v>
      </c>
      <c r="E34" s="489"/>
      <c r="F34" s="489"/>
      <c r="G34" s="490">
        <f>D34</f>
        <v>161739</v>
      </c>
      <c r="I34" s="589"/>
    </row>
    <row r="35" spans="1:9" x14ac:dyDescent="0.25">
      <c r="A35" s="367">
        <v>27</v>
      </c>
      <c r="B35" s="495" t="s">
        <v>558</v>
      </c>
      <c r="C35" s="489">
        <v>12070104.999999994</v>
      </c>
      <c r="D35" s="496">
        <v>2172723.5900000008</v>
      </c>
      <c r="E35" s="489"/>
      <c r="F35" s="489">
        <v>5577206.8000000026</v>
      </c>
      <c r="G35" s="490">
        <f>(D35)/2+F35+C35+E35</f>
        <v>18733673.594999999</v>
      </c>
      <c r="I35"/>
    </row>
    <row r="36" spans="1:9" x14ac:dyDescent="0.25">
      <c r="A36" s="367">
        <v>28</v>
      </c>
      <c r="B36" s="494" t="s">
        <v>559</v>
      </c>
      <c r="C36" s="489"/>
      <c r="D36" s="496">
        <v>116781.39</v>
      </c>
      <c r="E36" s="489"/>
      <c r="F36" s="489">
        <v>1318789</v>
      </c>
      <c r="G36" s="490">
        <v>203657.41950000002</v>
      </c>
      <c r="I36" s="589"/>
    </row>
    <row r="37" spans="1:9" x14ac:dyDescent="0.25">
      <c r="A37" s="498">
        <v>29</v>
      </c>
      <c r="B37" s="499" t="s">
        <v>560</v>
      </c>
      <c r="C37" s="491"/>
      <c r="D37" s="491"/>
      <c r="E37" s="491"/>
      <c r="F37" s="491"/>
      <c r="G37" s="500">
        <f>G33+G24+G23+G36</f>
        <v>31849325.489900008</v>
      </c>
      <c r="I37" s="589"/>
    </row>
    <row r="38" spans="1:9" x14ac:dyDescent="0.25">
      <c r="A38" s="485"/>
      <c r="B38" s="507"/>
      <c r="C38" s="508"/>
      <c r="D38" s="508"/>
      <c r="E38" s="508"/>
      <c r="F38" s="508"/>
      <c r="G38" s="509"/>
    </row>
    <row r="39" spans="1:9" ht="15.75" thickBot="1" x14ac:dyDescent="0.3">
      <c r="A39" s="510">
        <v>30</v>
      </c>
      <c r="B39" s="511" t="s">
        <v>71</v>
      </c>
      <c r="C39" s="408"/>
      <c r="D39" s="409"/>
      <c r="E39" s="409"/>
      <c r="F39" s="410"/>
      <c r="G39" s="512">
        <f>IFERROR(G21/G37,0)</f>
        <v>1.7584176993092053</v>
      </c>
    </row>
    <row r="40" spans="1:9" x14ac:dyDescent="0.25">
      <c r="I40" s="459"/>
    </row>
    <row r="42" spans="1:9" ht="39" x14ac:dyDescent="0.25">
      <c r="B42" s="152" t="s">
        <v>561</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1AF2-4B15-4249-AE42-D1AFBE00EF90}">
  <dimension ref="A1:I51"/>
  <sheetViews>
    <sheetView zoomScale="130" zoomScaleNormal="130" workbookViewId="0">
      <pane xSplit="1" ySplit="5" topLeftCell="B38" activePane="bottomRight" state="frozen"/>
      <selection activeCell="D49" sqref="D49"/>
      <selection pane="topRight" activeCell="D49" sqref="D49"/>
      <selection pane="bottomLeft" activeCell="D49" sqref="D49"/>
      <selection pane="bottomRight" activeCell="B49" sqref="B49"/>
    </sheetView>
  </sheetViews>
  <sheetFormatPr defaultRowHeight="15.75" x14ac:dyDescent="0.3"/>
  <cols>
    <col min="1" max="1" width="9.5703125" style="60" bestFit="1" customWidth="1"/>
    <col min="2" max="2" width="73.7109375" style="20" customWidth="1"/>
    <col min="3" max="3" width="12.7109375" style="20" customWidth="1"/>
    <col min="4" max="7" width="12.7109375" style="17" customWidth="1"/>
    <col min="8" max="10" width="6.7109375" customWidth="1"/>
  </cols>
  <sheetData>
    <row r="1" spans="1:7" x14ac:dyDescent="0.3">
      <c r="A1" s="18" t="s">
        <v>30</v>
      </c>
      <c r="B1" s="19" t="s">
        <v>2</v>
      </c>
    </row>
    <row r="2" spans="1:7" x14ac:dyDescent="0.3">
      <c r="A2" s="18" t="s">
        <v>31</v>
      </c>
      <c r="B2" s="21">
        <v>44742</v>
      </c>
    </row>
    <row r="3" spans="1:7" x14ac:dyDescent="0.3">
      <c r="A3" s="18"/>
    </row>
    <row r="4" spans="1:7" ht="16.5" thickBot="1" x14ac:dyDescent="0.35">
      <c r="A4" s="22" t="s">
        <v>32</v>
      </c>
      <c r="B4" s="23" t="s">
        <v>12</v>
      </c>
      <c r="C4" s="24"/>
      <c r="D4" s="25"/>
      <c r="E4" s="25"/>
      <c r="F4" s="25"/>
      <c r="G4" s="25"/>
    </row>
    <row r="5" spans="1:7" ht="15" x14ac:dyDescent="0.25">
      <c r="A5" s="26" t="s">
        <v>33</v>
      </c>
      <c r="B5" s="27"/>
      <c r="C5" s="28" t="s">
        <v>34</v>
      </c>
      <c r="D5" s="28" t="s">
        <v>35</v>
      </c>
      <c r="E5" s="29" t="s">
        <v>36</v>
      </c>
      <c r="F5" s="29" t="s">
        <v>37</v>
      </c>
      <c r="G5" s="29" t="s">
        <v>38</v>
      </c>
    </row>
    <row r="6" spans="1:7" ht="15" x14ac:dyDescent="0.25">
      <c r="A6" s="30"/>
      <c r="B6" s="31" t="s">
        <v>39</v>
      </c>
      <c r="C6" s="32"/>
      <c r="D6" s="32"/>
      <c r="E6" s="32"/>
      <c r="F6" s="32"/>
      <c r="G6" s="33"/>
    </row>
    <row r="7" spans="1:7" ht="15" x14ac:dyDescent="0.25">
      <c r="A7" s="30"/>
      <c r="B7" s="34" t="s">
        <v>40</v>
      </c>
      <c r="C7" s="32"/>
      <c r="D7" s="32"/>
      <c r="E7" s="32"/>
      <c r="F7" s="32"/>
      <c r="G7" s="35"/>
    </row>
    <row r="8" spans="1:7" ht="15" x14ac:dyDescent="0.25">
      <c r="A8" s="36">
        <v>1</v>
      </c>
      <c r="B8" s="37" t="s">
        <v>41</v>
      </c>
      <c r="C8" s="38">
        <v>47669109.719999999</v>
      </c>
      <c r="D8" s="38">
        <v>48782730.109999999</v>
      </c>
      <c r="E8" s="39">
        <v>49632390.290000007</v>
      </c>
      <c r="F8" s="39">
        <v>50140763.410000004</v>
      </c>
      <c r="G8" s="39">
        <v>48994240.769999996</v>
      </c>
    </row>
    <row r="9" spans="1:7" ht="15" x14ac:dyDescent="0.25">
      <c r="A9" s="36">
        <v>2</v>
      </c>
      <c r="B9" s="37" t="s">
        <v>42</v>
      </c>
      <c r="C9" s="38">
        <v>47669109.719999999</v>
      </c>
      <c r="D9" s="38">
        <v>48782730.109999999</v>
      </c>
      <c r="E9" s="39">
        <v>49632390.290000007</v>
      </c>
      <c r="F9" s="39">
        <v>50140763.410000004</v>
      </c>
      <c r="G9" s="39">
        <v>48994240.769999996</v>
      </c>
    </row>
    <row r="10" spans="1:7" ht="15" x14ac:dyDescent="0.25">
      <c r="A10" s="36">
        <v>3</v>
      </c>
      <c r="B10" s="37" t="s">
        <v>20</v>
      </c>
      <c r="C10" s="38">
        <v>50544809.549999997</v>
      </c>
      <c r="D10" s="38">
        <v>51647000.859999999</v>
      </c>
      <c r="E10" s="39">
        <v>52495485.620000005</v>
      </c>
      <c r="F10" s="39">
        <v>50329556.980000004</v>
      </c>
      <c r="G10" s="39">
        <v>49180119.979999997</v>
      </c>
    </row>
    <row r="11" spans="1:7" ht="15" x14ac:dyDescent="0.25">
      <c r="A11" s="36">
        <v>4</v>
      </c>
      <c r="B11" s="37" t="s">
        <v>43</v>
      </c>
      <c r="C11" s="38">
        <v>5206706.6113385735</v>
      </c>
      <c r="D11" s="38">
        <v>6735696.2838718379</v>
      </c>
      <c r="E11" s="39">
        <v>5798695.1748949355</v>
      </c>
      <c r="F11" s="39">
        <v>5583742.4805544456</v>
      </c>
      <c r="G11" s="39">
        <v>5689129.5554804113</v>
      </c>
    </row>
    <row r="12" spans="1:7" ht="25.9" customHeight="1" x14ac:dyDescent="0.25">
      <c r="A12" s="36">
        <v>5</v>
      </c>
      <c r="B12" s="37" t="s">
        <v>44</v>
      </c>
      <c r="C12" s="38">
        <v>6942485.309496766</v>
      </c>
      <c r="D12" s="38">
        <v>8981159.282382451</v>
      </c>
      <c r="E12" s="39">
        <v>7731828.4118372472</v>
      </c>
      <c r="F12" s="39">
        <v>7445232.7104652599</v>
      </c>
      <c r="G12" s="39">
        <v>7585739.6874565352</v>
      </c>
    </row>
    <row r="13" spans="1:7" ht="15" x14ac:dyDescent="0.25">
      <c r="A13" s="36">
        <v>6</v>
      </c>
      <c r="B13" s="37" t="s">
        <v>45</v>
      </c>
      <c r="C13" s="38">
        <v>12782659.366280219</v>
      </c>
      <c r="D13" s="38">
        <v>15671110.145961303</v>
      </c>
      <c r="E13" s="39">
        <v>14614321.352914453</v>
      </c>
      <c r="F13" s="39">
        <v>13939495.565229142</v>
      </c>
      <c r="G13" s="39">
        <v>14230476.649601668</v>
      </c>
    </row>
    <row r="14" spans="1:7" ht="15" x14ac:dyDescent="0.25">
      <c r="A14" s="30"/>
      <c r="B14" s="31" t="s">
        <v>46</v>
      </c>
      <c r="C14" s="32"/>
      <c r="D14" s="32"/>
      <c r="E14" s="32"/>
      <c r="F14" s="32"/>
      <c r="G14" s="32"/>
    </row>
    <row r="15" spans="1:7" ht="25.5" x14ac:dyDescent="0.25">
      <c r="A15" s="36">
        <v>7</v>
      </c>
      <c r="B15" s="37" t="s">
        <v>47</v>
      </c>
      <c r="C15" s="40">
        <v>53853117.125751503</v>
      </c>
      <c r="D15" s="40">
        <v>71891560.79072018</v>
      </c>
      <c r="E15" s="39">
        <v>66480039.751838081</v>
      </c>
      <c r="F15" s="39">
        <v>65855255.826557294</v>
      </c>
      <c r="G15" s="39">
        <v>66750700.426331006</v>
      </c>
    </row>
    <row r="16" spans="1:7" ht="15" customHeight="1" x14ac:dyDescent="0.25">
      <c r="A16" s="30"/>
      <c r="B16" s="31" t="s">
        <v>48</v>
      </c>
      <c r="C16" s="32"/>
      <c r="D16" s="32"/>
      <c r="E16" s="32"/>
      <c r="F16" s="32"/>
      <c r="G16" s="33"/>
    </row>
    <row r="17" spans="1:9" ht="15" x14ac:dyDescent="0.25">
      <c r="A17" s="36"/>
      <c r="B17" s="34" t="s">
        <v>49</v>
      </c>
      <c r="C17" s="32"/>
      <c r="D17" s="32"/>
      <c r="E17" s="32"/>
      <c r="F17" s="32"/>
      <c r="G17" s="35"/>
    </row>
    <row r="18" spans="1:9" ht="15" x14ac:dyDescent="0.25">
      <c r="A18" s="36">
        <v>8</v>
      </c>
      <c r="B18" s="37" t="str">
        <f>"ძირითადი პირველადი კაპიტალის კოეფიციენტი"</f>
        <v>ძირითადი პირველადი კაპიტალის კოეფიციენტი</v>
      </c>
      <c r="C18" s="41">
        <v>0.88516899790013392</v>
      </c>
      <c r="D18" s="41">
        <v>0.67855989734329025</v>
      </c>
      <c r="E18" s="42">
        <v>0.74657582148373702</v>
      </c>
      <c r="F18" s="42">
        <v>0.76137831036683723</v>
      </c>
      <c r="G18" s="42">
        <v>0.73398841445974317</v>
      </c>
    </row>
    <row r="19" spans="1:9" ht="15" customHeight="1" x14ac:dyDescent="0.25">
      <c r="A19" s="36">
        <v>9</v>
      </c>
      <c r="B19" s="37" t="str">
        <f>"პირველადი კაპიტალის კოეფიციენტი"</f>
        <v>პირველადი კაპიტალის კოეფიციენტი</v>
      </c>
      <c r="C19" s="41">
        <v>0.88516899790013392</v>
      </c>
      <c r="D19" s="41">
        <v>0.67855989734329025</v>
      </c>
      <c r="E19" s="42">
        <v>0.74657582148373702</v>
      </c>
      <c r="F19" s="42">
        <v>0.76137831036683723</v>
      </c>
      <c r="G19" s="42">
        <v>0.73398841445974317</v>
      </c>
      <c r="I19" s="43"/>
    </row>
    <row r="20" spans="1:9" ht="15" x14ac:dyDescent="0.25">
      <c r="A20" s="36">
        <v>10</v>
      </c>
      <c r="B20" s="37" t="str">
        <f>"საზედამხედველო კაპიტალის კოეფიციენტი"</f>
        <v>საზედამხედველო კაპიტალის კოეფიციენტი</v>
      </c>
      <c r="C20" s="41">
        <v>0.93856794643796881</v>
      </c>
      <c r="D20" s="41">
        <v>0.71840144089160796</v>
      </c>
      <c r="E20" s="42">
        <v>0.78964281333102815</v>
      </c>
      <c r="F20" s="42">
        <v>0.76424510615451469</v>
      </c>
      <c r="G20" s="42">
        <v>0.73677309250525891</v>
      </c>
      <c r="I20" s="43"/>
    </row>
    <row r="21" spans="1:9" ht="15" x14ac:dyDescent="0.25">
      <c r="A21" s="36">
        <v>11</v>
      </c>
      <c r="B21" s="37" t="s">
        <v>43</v>
      </c>
      <c r="C21" s="44">
        <v>9.6683477006177396E-2</v>
      </c>
      <c r="D21" s="44">
        <v>9.3692447483227914E-2</v>
      </c>
      <c r="E21" s="45">
        <v>8.7224604505965406E-2</v>
      </c>
      <c r="F21" s="45">
        <v>8.4788107045857125E-2</v>
      </c>
      <c r="G21" s="45">
        <v>8.5229510988565335E-2</v>
      </c>
      <c r="I21" s="43"/>
    </row>
    <row r="22" spans="1:9" ht="15" x14ac:dyDescent="0.25">
      <c r="A22" s="36">
        <v>12</v>
      </c>
      <c r="B22" s="37" t="s">
        <v>44</v>
      </c>
      <c r="C22" s="44">
        <v>0.12891519897140746</v>
      </c>
      <c r="D22" s="44">
        <v>0.12492647514674277</v>
      </c>
      <c r="E22" s="45">
        <v>0.11630300524336665</v>
      </c>
      <c r="F22" s="45">
        <v>0.11305449530214776</v>
      </c>
      <c r="G22" s="45">
        <v>0.11364284777548499</v>
      </c>
      <c r="I22" s="43"/>
    </row>
    <row r="23" spans="1:9" ht="15" x14ac:dyDescent="0.25">
      <c r="A23" s="36">
        <v>13</v>
      </c>
      <c r="B23" s="37" t="s">
        <v>45</v>
      </c>
      <c r="C23" s="44">
        <v>0.2373615502410315</v>
      </c>
      <c r="D23" s="44">
        <v>0.2179826112216518</v>
      </c>
      <c r="E23" s="45">
        <v>0.21983021381256601</v>
      </c>
      <c r="F23" s="45">
        <v>0.21166868749157292</v>
      </c>
      <c r="G23" s="45">
        <v>0.21318842437177188</v>
      </c>
      <c r="I23" s="43"/>
    </row>
    <row r="24" spans="1:9" ht="15" x14ac:dyDescent="0.25">
      <c r="A24" s="30"/>
      <c r="B24" s="31" t="s">
        <v>50</v>
      </c>
      <c r="C24" s="46"/>
      <c r="D24" s="46"/>
      <c r="E24" s="46"/>
      <c r="F24" s="46"/>
      <c r="G24" s="46"/>
      <c r="I24" s="43"/>
    </row>
    <row r="25" spans="1:9" ht="15" x14ac:dyDescent="0.25">
      <c r="A25" s="47">
        <v>14</v>
      </c>
      <c r="B25" s="48" t="s">
        <v>51</v>
      </c>
      <c r="C25" s="44">
        <v>6.8644437943282871E-2</v>
      </c>
      <c r="D25" s="44">
        <v>6.6340453031664887E-2</v>
      </c>
      <c r="E25" s="45">
        <v>6.3201565357805162E-2</v>
      </c>
      <c r="F25" s="45">
        <v>6.242506897294841E-2</v>
      </c>
      <c r="G25" s="45">
        <v>6.300658041975149E-2</v>
      </c>
    </row>
    <row r="26" spans="1:9" ht="15" x14ac:dyDescent="0.25">
      <c r="A26" s="47">
        <v>15</v>
      </c>
      <c r="B26" s="48" t="s">
        <v>52</v>
      </c>
      <c r="C26" s="44">
        <v>3.1564328779412947E-2</v>
      </c>
      <c r="D26" s="44">
        <v>3.1725445419185233E-2</v>
      </c>
      <c r="E26" s="45">
        <v>2.4044902504604955E-2</v>
      </c>
      <c r="F26" s="45">
        <v>2.3426350698135607E-2</v>
      </c>
      <c r="G26" s="45">
        <v>2.1178849671432853E-2</v>
      </c>
      <c r="I26" s="43"/>
    </row>
    <row r="27" spans="1:9" ht="15" customHeight="1" x14ac:dyDescent="0.25">
      <c r="A27" s="47">
        <v>16</v>
      </c>
      <c r="B27" s="48" t="s">
        <v>53</v>
      </c>
      <c r="C27" s="44">
        <v>-2.6266127410361082E-2</v>
      </c>
      <c r="D27" s="44">
        <v>-3.0832339776697228E-2</v>
      </c>
      <c r="E27" s="45">
        <v>-8.6417676734399096E-3</v>
      </c>
      <c r="F27" s="45">
        <v>3.0128411488318539E-2</v>
      </c>
      <c r="G27" s="45">
        <v>1.9565139738882846E-2</v>
      </c>
      <c r="I27" s="43"/>
    </row>
    <row r="28" spans="1:9" ht="15" x14ac:dyDescent="0.25">
      <c r="A28" s="47">
        <v>17</v>
      </c>
      <c r="B28" s="48" t="s">
        <v>54</v>
      </c>
      <c r="C28" s="44">
        <v>3.7080109163869925E-2</v>
      </c>
      <c r="D28" s="44">
        <v>3.4615007612479654E-2</v>
      </c>
      <c r="E28" s="45">
        <v>3.9156662853200207E-2</v>
      </c>
      <c r="F28" s="45">
        <v>3.8998718274812799E-2</v>
      </c>
      <c r="G28" s="45">
        <v>4.1827730748318637E-2</v>
      </c>
      <c r="I28" s="43"/>
    </row>
    <row r="29" spans="1:9" ht="15" customHeight="1" x14ac:dyDescent="0.25">
      <c r="A29" s="47">
        <v>18</v>
      </c>
      <c r="B29" s="48" t="s">
        <v>55</v>
      </c>
      <c r="C29" s="44">
        <v>-4.3456904238065724E-2</v>
      </c>
      <c r="D29" s="44">
        <v>-3.6956771619234767E-2</v>
      </c>
      <c r="E29" s="45">
        <v>9.4924772382594929E-3</v>
      </c>
      <c r="F29" s="45">
        <v>2.0703867906920439E-2</v>
      </c>
      <c r="G29" s="45">
        <v>5.2590344482301068E-3</v>
      </c>
      <c r="I29" s="43"/>
    </row>
    <row r="30" spans="1:9" ht="15" x14ac:dyDescent="0.25">
      <c r="A30" s="47">
        <v>19</v>
      </c>
      <c r="B30" s="48" t="s">
        <v>56</v>
      </c>
      <c r="C30" s="44">
        <v>-7.1654535872239203E-2</v>
      </c>
      <c r="D30" s="44">
        <v>-6.2810585501920951E-2</v>
      </c>
      <c r="E30" s="45">
        <v>1.5377283022315304E-2</v>
      </c>
      <c r="F30" s="45">
        <v>3.3549324486663562E-2</v>
      </c>
      <c r="G30" s="45">
        <v>8.4385839783986099E-3</v>
      </c>
      <c r="I30" s="43"/>
    </row>
    <row r="31" spans="1:9" ht="15" customHeight="1" x14ac:dyDescent="0.25">
      <c r="A31" s="30"/>
      <c r="B31" s="31" t="s">
        <v>57</v>
      </c>
      <c r="C31" s="46"/>
      <c r="D31" s="46"/>
      <c r="E31" s="46"/>
      <c r="F31" s="46"/>
      <c r="G31" s="46"/>
    </row>
    <row r="32" spans="1:9" ht="15" customHeight="1" x14ac:dyDescent="0.25">
      <c r="A32" s="47">
        <v>20</v>
      </c>
      <c r="B32" s="48" t="s">
        <v>58</v>
      </c>
      <c r="C32" s="44">
        <v>0.1459437829377751</v>
      </c>
      <c r="D32" s="44">
        <v>0.16505744055088239</v>
      </c>
      <c r="E32" s="45">
        <v>0.16738595385538177</v>
      </c>
      <c r="F32" s="45">
        <v>0.23554034392257195</v>
      </c>
      <c r="G32" s="45">
        <v>0.24475507830196283</v>
      </c>
      <c r="I32" s="43"/>
    </row>
    <row r="33" spans="1:9" ht="15" customHeight="1" x14ac:dyDescent="0.25">
      <c r="A33" s="47">
        <v>21</v>
      </c>
      <c r="B33" s="48" t="s">
        <v>59</v>
      </c>
      <c r="C33" s="44">
        <f>(-'2. RC'!E13)/'2. RC'!E12</f>
        <v>6.4883518819109212E-2</v>
      </c>
      <c r="D33" s="44">
        <v>6.9545281550102159E-2</v>
      </c>
      <c r="E33" s="45">
        <v>6.969366395158709E-2</v>
      </c>
      <c r="F33" s="45">
        <v>9.5600417409486035E-2</v>
      </c>
      <c r="G33" s="45">
        <v>0.1104944961222218</v>
      </c>
      <c r="I33" s="43"/>
    </row>
    <row r="34" spans="1:9" ht="15" customHeight="1" x14ac:dyDescent="0.25">
      <c r="A34" s="47">
        <v>22</v>
      </c>
      <c r="B34" s="48" t="s">
        <v>60</v>
      </c>
      <c r="C34" s="44">
        <f>'2. RC'!D12/'2. RC'!E12</f>
        <v>0.19592437409026345</v>
      </c>
      <c r="D34" s="44">
        <v>0.22430830972248131</v>
      </c>
      <c r="E34" s="45">
        <v>0.22868434117302994</v>
      </c>
      <c r="F34" s="45">
        <v>0.30896848358040074</v>
      </c>
      <c r="G34" s="45">
        <v>0.31342616527967693</v>
      </c>
      <c r="I34" s="43"/>
    </row>
    <row r="35" spans="1:9" ht="15" customHeight="1" x14ac:dyDescent="0.25">
      <c r="A35" s="47">
        <v>23</v>
      </c>
      <c r="B35" s="48" t="s">
        <v>61</v>
      </c>
      <c r="C35" s="44">
        <f>'2. RC'!D20/'2. RC'!E20</f>
        <v>7.5296942059711172E-2</v>
      </c>
      <c r="D35" s="44">
        <v>0.21782155335133591</v>
      </c>
      <c r="E35" s="45">
        <v>0.20680487498212347</v>
      </c>
      <c r="F35" s="45">
        <v>0.2213184036780321</v>
      </c>
      <c r="G35" s="45">
        <v>0.19914981700949014</v>
      </c>
    </row>
    <row r="36" spans="1:9" ht="15" customHeight="1" x14ac:dyDescent="0.25">
      <c r="A36" s="47">
        <v>24</v>
      </c>
      <c r="B36" s="48" t="s">
        <v>62</v>
      </c>
      <c r="C36" s="44">
        <v>1.3803265912725002E-2</v>
      </c>
      <c r="D36" s="44">
        <v>7.1589516154703706E-4</v>
      </c>
      <c r="E36" s="45">
        <v>0.32584474146547165</v>
      </c>
      <c r="F36" s="45">
        <v>2.9941524285723307E-2</v>
      </c>
      <c r="G36" s="45">
        <v>3.0181514125398035E-2</v>
      </c>
    </row>
    <row r="37" spans="1:9" ht="15" x14ac:dyDescent="0.25">
      <c r="A37" s="30"/>
      <c r="B37" s="31" t="s">
        <v>63</v>
      </c>
      <c r="C37" s="46"/>
      <c r="D37" s="46"/>
      <c r="E37" s="46"/>
      <c r="F37" s="46"/>
      <c r="G37" s="46"/>
    </row>
    <row r="38" spans="1:9" ht="15" x14ac:dyDescent="0.25">
      <c r="A38" s="47">
        <v>25</v>
      </c>
      <c r="B38" s="48" t="s">
        <v>64</v>
      </c>
      <c r="C38" s="44">
        <v>0.44772812081063196</v>
      </c>
      <c r="D38" s="44">
        <v>0.35465761211009106</v>
      </c>
      <c r="E38" s="44">
        <v>0.37673474951374064</v>
      </c>
      <c r="F38" s="44">
        <v>0.43837417785348737</v>
      </c>
      <c r="G38" s="44">
        <v>0.38187034498274303</v>
      </c>
    </row>
    <row r="39" spans="1:9" s="49" customFormat="1" ht="15" x14ac:dyDescent="0.25">
      <c r="A39" s="47">
        <v>26</v>
      </c>
      <c r="B39" s="48" t="s">
        <v>65</v>
      </c>
      <c r="C39" s="44">
        <f>'2. RC'!D31/'2. RC'!E31</f>
        <v>0.16477854600384689</v>
      </c>
      <c r="D39" s="44">
        <v>0.13308155848890119</v>
      </c>
      <c r="E39" s="44">
        <v>0.15574488651436422</v>
      </c>
      <c r="F39" s="44">
        <v>0.19044426206437998</v>
      </c>
      <c r="G39" s="44">
        <v>0.15221198508518563</v>
      </c>
    </row>
    <row r="40" spans="1:9" ht="15" x14ac:dyDescent="0.25">
      <c r="A40" s="47">
        <v>27</v>
      </c>
      <c r="B40" s="50" t="s">
        <v>66</v>
      </c>
      <c r="C40" s="44">
        <f>('2. RC'!E23+'2. RC'!E24)/'2. RC'!E20</f>
        <v>8.4388384081508658E-2</v>
      </c>
      <c r="D40" s="44">
        <v>0.1256366601234441</v>
      </c>
      <c r="E40" s="44">
        <v>8.1263564124999604E-2</v>
      </c>
      <c r="F40" s="44">
        <v>9.5158448679160387E-2</v>
      </c>
      <c r="G40" s="44">
        <v>8.0969739021411927E-2</v>
      </c>
    </row>
    <row r="41" spans="1:9" ht="15" x14ac:dyDescent="0.25">
      <c r="A41" s="51"/>
      <c r="B41" s="31" t="s">
        <v>67</v>
      </c>
      <c r="C41" s="32"/>
      <c r="D41" s="32"/>
      <c r="E41" s="32"/>
      <c r="F41" s="32"/>
      <c r="G41" s="52"/>
    </row>
    <row r="42" spans="1:9" ht="15" x14ac:dyDescent="0.25">
      <c r="A42" s="47">
        <v>28</v>
      </c>
      <c r="B42" s="53" t="s">
        <v>68</v>
      </c>
      <c r="C42" s="38">
        <f>'14. LCR'!H23</f>
        <v>37577645.133626401</v>
      </c>
      <c r="D42" s="38">
        <v>33641079.189999998</v>
      </c>
      <c r="E42" s="39">
        <v>39573837.899999991</v>
      </c>
      <c r="F42" s="39">
        <v>38760085.540000007</v>
      </c>
      <c r="G42" s="39">
        <v>53434140.819999993</v>
      </c>
    </row>
    <row r="43" spans="1:9" ht="15" x14ac:dyDescent="0.25">
      <c r="A43" s="47">
        <v>29</v>
      </c>
      <c r="B43" s="48" t="s">
        <v>69</v>
      </c>
      <c r="C43" s="38">
        <f>'14. LCR'!H24</f>
        <v>12869564.5162</v>
      </c>
      <c r="D43" s="38">
        <v>11877040.71415</v>
      </c>
      <c r="E43" s="39">
        <v>11153067.564049998</v>
      </c>
      <c r="F43" s="39">
        <v>13627631.179049999</v>
      </c>
      <c r="G43" s="39">
        <v>21568589.341299996</v>
      </c>
    </row>
    <row r="44" spans="1:9" ht="15" x14ac:dyDescent="0.25">
      <c r="A44" s="54">
        <v>30</v>
      </c>
      <c r="B44" s="55" t="s">
        <v>70</v>
      </c>
      <c r="C44" s="44">
        <f>C42/C43</f>
        <v>2.9198847471741773</v>
      </c>
      <c r="D44" s="44">
        <v>2.8324462296336899</v>
      </c>
      <c r="E44" s="44">
        <v>3.5482469439671895</v>
      </c>
      <c r="F44" s="44">
        <v>2.8442276600196359</v>
      </c>
      <c r="G44" s="44">
        <v>2.4774054517178441</v>
      </c>
    </row>
    <row r="45" spans="1:9" ht="15" x14ac:dyDescent="0.25">
      <c r="A45" s="54"/>
      <c r="B45" s="31" t="s">
        <v>71</v>
      </c>
      <c r="C45" s="32"/>
      <c r="D45" s="32"/>
      <c r="E45" s="32"/>
      <c r="F45" s="32"/>
      <c r="G45" s="52"/>
    </row>
    <row r="46" spans="1:9" ht="15" x14ac:dyDescent="0.25">
      <c r="A46" s="54">
        <v>31</v>
      </c>
      <c r="B46" s="629" t="s">
        <v>72</v>
      </c>
      <c r="C46" s="38">
        <f>'16. NSFR'!G21</f>
        <v>56004417.652500004</v>
      </c>
      <c r="D46" s="38">
        <v>60000891.506999999</v>
      </c>
      <c r="E46" s="39">
        <v>58813705.04900001</v>
      </c>
      <c r="F46" s="39">
        <v>57271959.573000006</v>
      </c>
      <c r="G46" s="39">
        <v>55902096.184999995</v>
      </c>
    </row>
    <row r="47" spans="1:9" ht="15" x14ac:dyDescent="0.25">
      <c r="A47" s="54">
        <v>32</v>
      </c>
      <c r="B47" s="629" t="s">
        <v>73</v>
      </c>
      <c r="C47" s="38">
        <f>'16. NSFR'!G37</f>
        <v>31849325.489900008</v>
      </c>
      <c r="D47" s="38">
        <v>31615845.140500002</v>
      </c>
      <c r="E47" s="39">
        <v>32472603.387424968</v>
      </c>
      <c r="F47" s="39">
        <v>28925245.853524994</v>
      </c>
      <c r="G47" s="39">
        <v>31224880.248529296</v>
      </c>
    </row>
    <row r="48" spans="1:9" thickBot="1" x14ac:dyDescent="0.3">
      <c r="A48" s="56">
        <v>33</v>
      </c>
      <c r="B48" s="630" t="s">
        <v>74</v>
      </c>
      <c r="C48" s="44">
        <f>'16. NSFR'!G39</f>
        <v>1.7584176993092053</v>
      </c>
      <c r="D48" s="44">
        <v>1.8978107730588123</v>
      </c>
      <c r="E48" s="44">
        <v>1.8111792376885818</v>
      </c>
      <c r="F48" s="44">
        <v>1.9799990590579724</v>
      </c>
      <c r="G48" s="44">
        <v>1.7903061834042744</v>
      </c>
    </row>
    <row r="49" spans="2:4" ht="78" x14ac:dyDescent="0.3">
      <c r="B49" s="57" t="s">
        <v>75</v>
      </c>
      <c r="C49" s="58"/>
    </row>
    <row r="51" spans="2:4" x14ac:dyDescent="0.3">
      <c r="D51" s="59"/>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D17A7-556A-431C-A958-68BFF5A723CD}">
  <dimension ref="A1:K26"/>
  <sheetViews>
    <sheetView showGridLines="0" zoomScale="115" zoomScaleNormal="115" workbookViewId="0">
      <selection activeCell="C8" sqref="C8:H22"/>
    </sheetView>
  </sheetViews>
  <sheetFormatPr defaultColWidth="9.28515625" defaultRowHeight="12.75" x14ac:dyDescent="0.25"/>
  <cols>
    <col min="1" max="1" width="11.7109375" style="514" bestFit="1" customWidth="1"/>
    <col min="2" max="2" width="105.28515625" style="514" bestFit="1" customWidth="1"/>
    <col min="3" max="3" width="13.7109375" style="514" bestFit="1" customWidth="1"/>
    <col min="4" max="4" width="20.28515625" style="514" customWidth="1"/>
    <col min="5" max="5" width="17.28515625" style="514" bestFit="1" customWidth="1"/>
    <col min="6" max="6" width="14.28515625" style="514" bestFit="1" customWidth="1"/>
    <col min="7" max="7" width="17.85546875" style="514" customWidth="1"/>
    <col min="8" max="8" width="18.140625" style="514" customWidth="1"/>
    <col min="9" max="9" width="19" style="515" customWidth="1"/>
    <col min="10" max="10" width="10" style="514" bestFit="1" customWidth="1"/>
    <col min="11" max="11" width="13.28515625" style="514" bestFit="1" customWidth="1"/>
    <col min="12" max="16384" width="9.28515625" style="514"/>
  </cols>
  <sheetData>
    <row r="1" spans="1:11" x14ac:dyDescent="0.25">
      <c r="A1" s="513" t="s">
        <v>30</v>
      </c>
      <c r="B1" s="514" t="s">
        <v>2</v>
      </c>
    </row>
    <row r="2" spans="1:11" x14ac:dyDescent="0.25">
      <c r="A2" s="513" t="s">
        <v>31</v>
      </c>
      <c r="B2" s="539">
        <v>44742</v>
      </c>
    </row>
    <row r="3" spans="1:11" x14ac:dyDescent="0.25">
      <c r="A3" s="516" t="s">
        <v>562</v>
      </c>
      <c r="B3" s="517"/>
    </row>
    <row r="5" spans="1:11" ht="12.75" customHeight="1" x14ac:dyDescent="0.25">
      <c r="A5" s="680" t="s">
        <v>563</v>
      </c>
      <c r="B5" s="681"/>
      <c r="C5" s="686" t="s">
        <v>564</v>
      </c>
      <c r="D5" s="687"/>
      <c r="E5" s="687"/>
      <c r="F5" s="687"/>
      <c r="G5" s="687"/>
      <c r="H5" s="688"/>
    </row>
    <row r="6" spans="1:11" x14ac:dyDescent="0.25">
      <c r="A6" s="682"/>
      <c r="B6" s="683"/>
      <c r="C6" s="689"/>
      <c r="D6" s="690"/>
      <c r="E6" s="690"/>
      <c r="F6" s="690"/>
      <c r="G6" s="690"/>
      <c r="H6" s="691"/>
    </row>
    <row r="7" spans="1:11" ht="25.5" x14ac:dyDescent="0.25">
      <c r="A7" s="684"/>
      <c r="B7" s="685"/>
      <c r="C7" s="518" t="s">
        <v>565</v>
      </c>
      <c r="D7" s="518" t="s">
        <v>566</v>
      </c>
      <c r="E7" s="518" t="s">
        <v>567</v>
      </c>
      <c r="F7" s="518" t="s">
        <v>568</v>
      </c>
      <c r="G7" s="518" t="s">
        <v>569</v>
      </c>
      <c r="H7" s="518" t="s">
        <v>84</v>
      </c>
    </row>
    <row r="8" spans="1:11" x14ac:dyDescent="0.25">
      <c r="A8" s="519">
        <v>1</v>
      </c>
      <c r="B8" s="520" t="s">
        <v>409</v>
      </c>
      <c r="C8" s="546">
        <v>7046.8099999999995</v>
      </c>
      <c r="D8" s="546">
        <v>7281091.9200000018</v>
      </c>
      <c r="E8" s="546">
        <v>7586051.9000000004</v>
      </c>
      <c r="F8" s="546">
        <v>16781579.259999998</v>
      </c>
      <c r="G8" s="546">
        <v>0</v>
      </c>
      <c r="H8" s="593">
        <f t="shared" ref="H8:H13" si="0">SUM(C8:G8)</f>
        <v>31655769.890000001</v>
      </c>
      <c r="I8" s="521"/>
    </row>
    <row r="9" spans="1:11" x14ac:dyDescent="0.25">
      <c r="A9" s="519">
        <v>2</v>
      </c>
      <c r="B9" s="520" t="s">
        <v>410</v>
      </c>
      <c r="C9" s="546"/>
      <c r="D9" s="546">
        <v>0</v>
      </c>
      <c r="E9" s="546"/>
      <c r="F9" s="546"/>
      <c r="G9" s="546"/>
      <c r="H9" s="593">
        <f t="shared" si="0"/>
        <v>0</v>
      </c>
      <c r="I9" s="521"/>
    </row>
    <row r="10" spans="1:11" x14ac:dyDescent="0.25">
      <c r="A10" s="519">
        <v>3</v>
      </c>
      <c r="B10" s="520" t="s">
        <v>411</v>
      </c>
      <c r="C10" s="546"/>
      <c r="D10" s="546">
        <v>0</v>
      </c>
      <c r="E10" s="546"/>
      <c r="F10" s="546"/>
      <c r="G10" s="546"/>
      <c r="H10" s="593">
        <f t="shared" si="0"/>
        <v>0</v>
      </c>
      <c r="I10" s="521"/>
    </row>
    <row r="11" spans="1:11" x14ac:dyDescent="0.25">
      <c r="A11" s="519">
        <v>4</v>
      </c>
      <c r="B11" s="520" t="s">
        <v>412</v>
      </c>
      <c r="C11" s="546"/>
      <c r="D11" s="546">
        <v>0</v>
      </c>
      <c r="E11" s="546"/>
      <c r="F11" s="546"/>
      <c r="G11" s="546"/>
      <c r="H11" s="593">
        <f t="shared" si="0"/>
        <v>0</v>
      </c>
      <c r="I11" s="521"/>
    </row>
    <row r="12" spans="1:11" x14ac:dyDescent="0.25">
      <c r="A12" s="519">
        <v>5</v>
      </c>
      <c r="B12" s="520" t="s">
        <v>413</v>
      </c>
      <c r="C12" s="546"/>
      <c r="D12" s="546">
        <v>0</v>
      </c>
      <c r="E12" s="546"/>
      <c r="F12" s="546"/>
      <c r="G12" s="546"/>
      <c r="H12" s="593">
        <f t="shared" si="0"/>
        <v>0</v>
      </c>
      <c r="I12" s="521"/>
    </row>
    <row r="13" spans="1:11" x14ac:dyDescent="0.25">
      <c r="A13" s="519">
        <v>6</v>
      </c>
      <c r="B13" s="520" t="s">
        <v>414</v>
      </c>
      <c r="C13" s="546">
        <v>738144.39</v>
      </c>
      <c r="D13" s="546">
        <v>0</v>
      </c>
      <c r="E13" s="546"/>
      <c r="F13" s="546"/>
      <c r="G13" s="546"/>
      <c r="H13" s="593">
        <f t="shared" si="0"/>
        <v>738144.39</v>
      </c>
      <c r="I13" s="521"/>
    </row>
    <row r="14" spans="1:11" x14ac:dyDescent="0.25">
      <c r="A14" s="519">
        <v>7</v>
      </c>
      <c r="B14" s="520" t="s">
        <v>415</v>
      </c>
      <c r="C14" s="546"/>
      <c r="D14" s="546">
        <v>4872888.7700000005</v>
      </c>
      <c r="E14" s="546">
        <v>231967.66999999993</v>
      </c>
      <c r="F14" s="546">
        <v>5100370.5599999996</v>
      </c>
      <c r="G14" s="546">
        <v>0</v>
      </c>
      <c r="H14" s="593">
        <f t="shared" ref="H14:H21" si="1">SUM(C14:G14)</f>
        <v>10205227</v>
      </c>
      <c r="I14" s="521"/>
    </row>
    <row r="15" spans="1:11" x14ac:dyDescent="0.25">
      <c r="A15" s="519">
        <v>8</v>
      </c>
      <c r="B15" s="522" t="s">
        <v>416</v>
      </c>
      <c r="C15" s="546"/>
      <c r="D15" s="546">
        <v>255100.03000000012</v>
      </c>
      <c r="E15" s="546">
        <v>3143580.8299999982</v>
      </c>
      <c r="F15" s="546">
        <v>1808200.8299999998</v>
      </c>
      <c r="G15" s="546">
        <v>78636.309999999954</v>
      </c>
      <c r="H15" s="593">
        <f t="shared" si="1"/>
        <v>5285517.9999999981</v>
      </c>
      <c r="I15" s="521"/>
      <c r="J15" s="521"/>
      <c r="K15" s="523"/>
    </row>
    <row r="16" spans="1:11" x14ac:dyDescent="0.25">
      <c r="A16" s="519">
        <v>9</v>
      </c>
      <c r="B16" s="520" t="s">
        <v>417</v>
      </c>
      <c r="C16" s="546"/>
      <c r="D16" s="546">
        <v>0</v>
      </c>
      <c r="E16" s="546"/>
      <c r="F16" s="546">
        <v>0</v>
      </c>
      <c r="G16" s="546"/>
      <c r="H16" s="593">
        <f t="shared" si="1"/>
        <v>0</v>
      </c>
      <c r="I16" s="521"/>
    </row>
    <row r="17" spans="1:11" x14ac:dyDescent="0.25">
      <c r="A17" s="519">
        <v>10</v>
      </c>
      <c r="B17" s="591" t="s">
        <v>418</v>
      </c>
      <c r="C17" s="546"/>
      <c r="D17" s="546">
        <v>678890.08999999985</v>
      </c>
      <c r="E17" s="546">
        <v>22284.519999999902</v>
      </c>
      <c r="F17" s="546">
        <v>0</v>
      </c>
      <c r="G17" s="546"/>
      <c r="H17" s="593">
        <f t="shared" si="1"/>
        <v>701174.60999999975</v>
      </c>
      <c r="I17" s="521"/>
      <c r="J17" s="524"/>
    </row>
    <row r="18" spans="1:11" x14ac:dyDescent="0.25">
      <c r="A18" s="519">
        <v>11</v>
      </c>
      <c r="B18" s="520" t="s">
        <v>419</v>
      </c>
      <c r="C18" s="546"/>
      <c r="D18" s="546">
        <v>1190.44</v>
      </c>
      <c r="E18" s="546">
        <v>9261.9900000000016</v>
      </c>
      <c r="F18" s="546">
        <v>0</v>
      </c>
      <c r="G18" s="546">
        <v>58128.41</v>
      </c>
      <c r="H18" s="593">
        <f t="shared" si="1"/>
        <v>68580.840000000011</v>
      </c>
      <c r="I18" s="521"/>
    </row>
    <row r="19" spans="1:11" x14ac:dyDescent="0.25">
      <c r="A19" s="519">
        <v>12</v>
      </c>
      <c r="B19" s="520" t="s">
        <v>420</v>
      </c>
      <c r="C19" s="546"/>
      <c r="D19" s="546">
        <v>0</v>
      </c>
      <c r="E19" s="546"/>
      <c r="F19" s="546"/>
      <c r="G19" s="546"/>
      <c r="H19" s="593">
        <f t="shared" si="1"/>
        <v>0</v>
      </c>
      <c r="I19" s="521"/>
    </row>
    <row r="20" spans="1:11" x14ac:dyDescent="0.25">
      <c r="A20" s="525">
        <v>13</v>
      </c>
      <c r="B20" s="522" t="s">
        <v>421</v>
      </c>
      <c r="C20" s="546"/>
      <c r="D20" s="546">
        <v>0</v>
      </c>
      <c r="E20" s="546"/>
      <c r="F20" s="546"/>
      <c r="G20" s="546"/>
      <c r="H20" s="593">
        <f t="shared" si="1"/>
        <v>0</v>
      </c>
      <c r="I20" s="521"/>
    </row>
    <row r="21" spans="1:11" x14ac:dyDescent="0.25">
      <c r="A21" s="519">
        <v>14</v>
      </c>
      <c r="B21" s="520" t="s">
        <v>570</v>
      </c>
      <c r="C21" s="546">
        <f>'2. RC'!E7</f>
        <v>1580758.3599999999</v>
      </c>
      <c r="D21" s="546">
        <v>8997645.7200000044</v>
      </c>
      <c r="E21" s="546">
        <v>0</v>
      </c>
      <c r="F21" s="546"/>
      <c r="G21" s="546">
        <v>16051432.539999994</v>
      </c>
      <c r="H21" s="593">
        <f t="shared" si="1"/>
        <v>26629836.619999997</v>
      </c>
      <c r="I21" s="521"/>
    </row>
    <row r="22" spans="1:11" x14ac:dyDescent="0.25">
      <c r="A22" s="526">
        <v>15</v>
      </c>
      <c r="B22" s="527" t="s">
        <v>84</v>
      </c>
      <c r="C22" s="593">
        <f>SUM(C18:C21)+SUM(C8:C16)</f>
        <v>2325949.56</v>
      </c>
      <c r="D22" s="593">
        <f>SUM(D18:D21)+SUM(D8:D16)</f>
        <v>21407916.880000003</v>
      </c>
      <c r="E22" s="593">
        <f>SUM(E18:E21)+SUM(E8:E16)</f>
        <v>10970862.389999999</v>
      </c>
      <c r="F22" s="593">
        <f>SUM(F18:F21)+SUM(F8:F16)</f>
        <v>23690150.649999995</v>
      </c>
      <c r="G22" s="593">
        <f>SUM(G18:G21)+SUM(G8:G16)</f>
        <v>16188197.259999994</v>
      </c>
      <c r="H22" s="593">
        <f>SUM(H8:H21)-H17</f>
        <v>74583076.739999995</v>
      </c>
      <c r="I22" s="521"/>
    </row>
    <row r="24" spans="1:11" x14ac:dyDescent="0.25">
      <c r="K24" s="523"/>
    </row>
    <row r="26" spans="1:11" ht="38.25" x14ac:dyDescent="0.25">
      <c r="B26" s="592" t="s">
        <v>571</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4A89-F51A-43C3-924C-7EE3C531D919}">
  <dimension ref="A1:O26"/>
  <sheetViews>
    <sheetView showGridLines="0" topLeftCell="C1" zoomScaleNormal="100" workbookViewId="0">
      <selection activeCell="C7" sqref="C7:I23"/>
    </sheetView>
  </sheetViews>
  <sheetFormatPr defaultColWidth="9.28515625" defaultRowHeight="12.75" x14ac:dyDescent="0.25"/>
  <cols>
    <col min="1" max="1" width="11.7109375" style="528" bestFit="1" customWidth="1"/>
    <col min="2" max="2" width="114.7109375" style="514" customWidth="1"/>
    <col min="3" max="3" width="22.42578125" style="514" customWidth="1"/>
    <col min="4" max="4" width="23.5703125" style="514" customWidth="1"/>
    <col min="5" max="8" width="22.28515625" style="514" customWidth="1"/>
    <col min="9" max="9" width="41.42578125" style="514" customWidth="1"/>
    <col min="10" max="10" width="18" style="514" customWidth="1"/>
    <col min="11" max="11" width="14.5703125" style="515" customWidth="1"/>
    <col min="12" max="14" width="9.28515625" style="514"/>
    <col min="15" max="15" width="11.140625" style="514" bestFit="1" customWidth="1"/>
    <col min="16" max="16384" width="9.28515625" style="514"/>
  </cols>
  <sheetData>
    <row r="1" spans="1:15" x14ac:dyDescent="0.25">
      <c r="A1" s="513" t="s">
        <v>30</v>
      </c>
      <c r="B1" s="514" t="s">
        <v>2</v>
      </c>
    </row>
    <row r="2" spans="1:15" x14ac:dyDescent="0.25">
      <c r="A2" s="513" t="s">
        <v>31</v>
      </c>
      <c r="B2" s="539">
        <v>44742</v>
      </c>
    </row>
    <row r="3" spans="1:15" x14ac:dyDescent="0.25">
      <c r="A3" s="516" t="s">
        <v>572</v>
      </c>
      <c r="B3" s="517"/>
    </row>
    <row r="4" spans="1:15" x14ac:dyDescent="0.25">
      <c r="C4" s="529" t="s">
        <v>573</v>
      </c>
      <c r="D4" s="529" t="s">
        <v>574</v>
      </c>
      <c r="E4" s="529" t="s">
        <v>575</v>
      </c>
      <c r="F4" s="529" t="s">
        <v>576</v>
      </c>
      <c r="G4" s="529" t="s">
        <v>577</v>
      </c>
      <c r="H4" s="529" t="s">
        <v>578</v>
      </c>
      <c r="I4" s="529" t="s">
        <v>579</v>
      </c>
    </row>
    <row r="5" spans="1:15" ht="34.15" customHeight="1" x14ac:dyDescent="0.25">
      <c r="A5" s="680" t="s">
        <v>580</v>
      </c>
      <c r="B5" s="681"/>
      <c r="C5" s="694" t="s">
        <v>581</v>
      </c>
      <c r="D5" s="694"/>
      <c r="E5" s="694" t="s">
        <v>582</v>
      </c>
      <c r="F5" s="694" t="s">
        <v>583</v>
      </c>
      <c r="G5" s="692" t="s">
        <v>584</v>
      </c>
      <c r="H5" s="692" t="s">
        <v>585</v>
      </c>
      <c r="I5" s="530" t="s">
        <v>586</v>
      </c>
    </row>
    <row r="6" spans="1:15" ht="38.25" x14ac:dyDescent="0.25">
      <c r="A6" s="684"/>
      <c r="B6" s="685"/>
      <c r="C6" s="556" t="s">
        <v>587</v>
      </c>
      <c r="D6" s="556" t="s">
        <v>588</v>
      </c>
      <c r="E6" s="694"/>
      <c r="F6" s="694"/>
      <c r="G6" s="693"/>
      <c r="H6" s="693"/>
      <c r="I6" s="530" t="s">
        <v>589</v>
      </c>
    </row>
    <row r="7" spans="1:15" x14ac:dyDescent="0.25">
      <c r="A7" s="531">
        <v>1</v>
      </c>
      <c r="B7" s="520" t="s">
        <v>409</v>
      </c>
      <c r="C7" s="546"/>
      <c r="D7" s="546">
        <f>' 17. Residual Maturity'!H8-'18. Assets by Exposure classes'!C7</f>
        <v>31655769.890000001</v>
      </c>
      <c r="E7" s="546"/>
      <c r="F7" s="546"/>
      <c r="G7" s="546"/>
      <c r="H7" s="546"/>
      <c r="I7" s="619">
        <f t="shared" ref="I7:I20" si="0">C7+D7-E7-F7-G7</f>
        <v>31655769.890000001</v>
      </c>
      <c r="J7" s="532"/>
    </row>
    <row r="8" spans="1:15" x14ac:dyDescent="0.25">
      <c r="A8" s="531">
        <v>2</v>
      </c>
      <c r="B8" s="520" t="s">
        <v>410</v>
      </c>
      <c r="C8" s="546"/>
      <c r="D8" s="546">
        <f>' 17. Residual Maturity'!H9-'18. Assets by Exposure classes'!C8</f>
        <v>0</v>
      </c>
      <c r="E8" s="546"/>
      <c r="F8" s="546"/>
      <c r="G8" s="546"/>
      <c r="H8" s="546"/>
      <c r="I8" s="619">
        <f t="shared" si="0"/>
        <v>0</v>
      </c>
      <c r="J8" s="532"/>
    </row>
    <row r="9" spans="1:15" x14ac:dyDescent="0.25">
      <c r="A9" s="531">
        <v>3</v>
      </c>
      <c r="B9" s="520" t="s">
        <v>411</v>
      </c>
      <c r="C9" s="546"/>
      <c r="D9" s="546">
        <f>' 17. Residual Maturity'!H10-'18. Assets by Exposure classes'!C9</f>
        <v>0</v>
      </c>
      <c r="E9" s="546"/>
      <c r="F9" s="546"/>
      <c r="G9" s="546"/>
      <c r="H9" s="546"/>
      <c r="I9" s="619">
        <f t="shared" si="0"/>
        <v>0</v>
      </c>
      <c r="J9" s="532"/>
    </row>
    <row r="10" spans="1:15" x14ac:dyDescent="0.25">
      <c r="A10" s="531">
        <v>4</v>
      </c>
      <c r="B10" s="520" t="s">
        <v>412</v>
      </c>
      <c r="C10" s="546"/>
      <c r="D10" s="546">
        <f>' 17. Residual Maturity'!H11-'18. Assets by Exposure classes'!C10</f>
        <v>0</v>
      </c>
      <c r="E10" s="546"/>
      <c r="F10" s="546"/>
      <c r="G10" s="546"/>
      <c r="H10" s="546"/>
      <c r="I10" s="619">
        <f t="shared" si="0"/>
        <v>0</v>
      </c>
      <c r="J10" s="532"/>
    </row>
    <row r="11" spans="1:15" x14ac:dyDescent="0.25">
      <c r="A11" s="531">
        <v>5</v>
      </c>
      <c r="B11" s="520" t="s">
        <v>413</v>
      </c>
      <c r="C11" s="546"/>
      <c r="D11" s="546">
        <f>' 17. Residual Maturity'!H12-'18. Assets by Exposure classes'!C11</f>
        <v>0</v>
      </c>
      <c r="E11" s="546"/>
      <c r="F11" s="546"/>
      <c r="G11" s="546"/>
      <c r="H11" s="546"/>
      <c r="I11" s="619">
        <f t="shared" si="0"/>
        <v>0</v>
      </c>
      <c r="J11" s="532"/>
    </row>
    <row r="12" spans="1:15" x14ac:dyDescent="0.25">
      <c r="A12" s="531">
        <v>6</v>
      </c>
      <c r="B12" s="520" t="s">
        <v>414</v>
      </c>
      <c r="C12" s="546"/>
      <c r="D12" s="546">
        <f>' 17. Residual Maturity'!H13-'18. Assets by Exposure classes'!C12</f>
        <v>738144.39</v>
      </c>
      <c r="E12" s="546"/>
      <c r="F12" s="546"/>
      <c r="G12" s="546"/>
      <c r="H12" s="546"/>
      <c r="I12" s="619">
        <f t="shared" si="0"/>
        <v>738144.39</v>
      </c>
      <c r="J12" s="532"/>
    </row>
    <row r="13" spans="1:15" x14ac:dyDescent="0.25">
      <c r="A13" s="531">
        <v>7</v>
      </c>
      <c r="B13" s="520" t="s">
        <v>415</v>
      </c>
      <c r="C13" s="546">
        <v>2065524.2199999997</v>
      </c>
      <c r="D13" s="546">
        <v>8759360.0399999972</v>
      </c>
      <c r="E13" s="546">
        <v>619657.18999999994</v>
      </c>
      <c r="F13" s="546">
        <v>173888.58000000002</v>
      </c>
      <c r="G13" s="546"/>
      <c r="H13" s="546"/>
      <c r="I13" s="619">
        <f t="shared" si="0"/>
        <v>10031338.489999998</v>
      </c>
      <c r="J13" s="532"/>
      <c r="K13" s="533"/>
      <c r="O13" s="524"/>
    </row>
    <row r="14" spans="1:15" x14ac:dyDescent="0.25">
      <c r="A14" s="531">
        <v>8</v>
      </c>
      <c r="B14" s="522" t="s">
        <v>416</v>
      </c>
      <c r="C14" s="546">
        <v>297194.77</v>
      </c>
      <c r="D14" s="546">
        <v>5143381.3399999961</v>
      </c>
      <c r="E14" s="546">
        <v>155057.40999999997</v>
      </c>
      <c r="F14" s="546">
        <v>100453.37000000007</v>
      </c>
      <c r="G14" s="546"/>
      <c r="H14" s="546">
        <f>'19. Assets by Risk Sectors'!H34</f>
        <v>1050</v>
      </c>
      <c r="I14" s="619">
        <f t="shared" si="0"/>
        <v>5185065.3299999954</v>
      </c>
      <c r="J14" s="532"/>
      <c r="K14" s="533"/>
    </row>
    <row r="15" spans="1:15" x14ac:dyDescent="0.25">
      <c r="A15" s="531">
        <v>9</v>
      </c>
      <c r="B15" s="520" t="s">
        <v>417</v>
      </c>
      <c r="C15" s="546">
        <v>0</v>
      </c>
      <c r="D15" s="546">
        <v>0</v>
      </c>
      <c r="E15" s="546">
        <v>0</v>
      </c>
      <c r="F15" s="546">
        <v>0</v>
      </c>
      <c r="G15" s="546"/>
      <c r="H15" s="546"/>
      <c r="I15" s="619">
        <f t="shared" si="0"/>
        <v>0</v>
      </c>
      <c r="J15" s="532"/>
    </row>
    <row r="16" spans="1:15" x14ac:dyDescent="0.25">
      <c r="A16" s="531">
        <v>10</v>
      </c>
      <c r="B16" s="591" t="s">
        <v>590</v>
      </c>
      <c r="C16" s="546">
        <v>1064524.7</v>
      </c>
      <c r="D16" s="546">
        <v>0</v>
      </c>
      <c r="E16" s="546">
        <v>363349.78000000009</v>
      </c>
      <c r="F16" s="546">
        <v>0</v>
      </c>
      <c r="G16" s="546"/>
      <c r="H16" s="546"/>
      <c r="I16" s="619">
        <f t="shared" si="0"/>
        <v>701174.91999999993</v>
      </c>
      <c r="J16" s="532"/>
    </row>
    <row r="17" spans="1:11" x14ac:dyDescent="0.25">
      <c r="A17" s="531">
        <v>11</v>
      </c>
      <c r="B17" s="520" t="s">
        <v>419</v>
      </c>
      <c r="C17" s="546">
        <v>0</v>
      </c>
      <c r="D17" s="546">
        <v>68580.84</v>
      </c>
      <c r="E17" s="546">
        <v>0</v>
      </c>
      <c r="F17" s="546">
        <v>1357.8800000000003</v>
      </c>
      <c r="G17" s="546"/>
      <c r="H17" s="546"/>
      <c r="I17" s="619">
        <f t="shared" si="0"/>
        <v>67222.959999999992</v>
      </c>
      <c r="J17" s="532"/>
    </row>
    <row r="18" spans="1:11" x14ac:dyDescent="0.25">
      <c r="A18" s="531">
        <v>12</v>
      </c>
      <c r="B18" s="520" t="s">
        <v>420</v>
      </c>
      <c r="C18" s="546"/>
      <c r="D18" s="546">
        <f>' 17. Residual Maturity'!H19-'18. Assets by Exposure classes'!C18</f>
        <v>0</v>
      </c>
      <c r="E18" s="546"/>
      <c r="F18" s="546"/>
      <c r="G18" s="546"/>
      <c r="H18" s="546"/>
      <c r="I18" s="619">
        <f t="shared" si="0"/>
        <v>0</v>
      </c>
      <c r="J18" s="532"/>
    </row>
    <row r="19" spans="1:11" x14ac:dyDescent="0.25">
      <c r="A19" s="534">
        <v>13</v>
      </c>
      <c r="B19" s="522" t="s">
        <v>421</v>
      </c>
      <c r="C19" s="546"/>
      <c r="D19" s="546">
        <f>' 17. Residual Maturity'!H20-'18. Assets by Exposure classes'!C19</f>
        <v>0</v>
      </c>
      <c r="E19" s="546"/>
      <c r="F19" s="546"/>
      <c r="G19" s="546"/>
      <c r="H19" s="546"/>
      <c r="I19" s="619">
        <f t="shared" si="0"/>
        <v>0</v>
      </c>
      <c r="J19" s="532"/>
    </row>
    <row r="20" spans="1:11" x14ac:dyDescent="0.25">
      <c r="A20" s="531">
        <v>14</v>
      </c>
      <c r="B20" s="520" t="s">
        <v>570</v>
      </c>
      <c r="C20" s="546">
        <v>93389.04</v>
      </c>
      <c r="D20" s="546">
        <v>26651405.389999997</v>
      </c>
      <c r="E20" s="546">
        <v>-191163.41</v>
      </c>
      <c r="F20" s="546">
        <v>100000</v>
      </c>
      <c r="G20" s="546"/>
      <c r="H20" s="546"/>
      <c r="I20" s="619">
        <f t="shared" si="0"/>
        <v>26835957.839999996</v>
      </c>
      <c r="J20" s="532"/>
    </row>
    <row r="21" spans="1:11" s="536" customFormat="1" x14ac:dyDescent="0.25">
      <c r="A21" s="535">
        <v>15</v>
      </c>
      <c r="B21" s="527" t="s">
        <v>84</v>
      </c>
      <c r="C21" s="593">
        <f>SUM(C7:C15)+SUM(C17:C20)</f>
        <v>2456108.0299999998</v>
      </c>
      <c r="D21" s="593">
        <f>SUM(D7:D15)+SUM(D17:D20)</f>
        <v>73016641.889999986</v>
      </c>
      <c r="E21" s="593">
        <f>SUM(E7:E15)+SUM(E17:E20)</f>
        <v>583551.18999999983</v>
      </c>
      <c r="F21" s="593">
        <f>SUM(F13:F20)</f>
        <v>375699.83000000007</v>
      </c>
      <c r="G21" s="593">
        <v>0</v>
      </c>
      <c r="H21" s="593">
        <f>SUM(H7:H15)+SUM(H17:H20)</f>
        <v>1050</v>
      </c>
      <c r="I21" s="619">
        <f>C21+D21-E21-F21-G21</f>
        <v>74513498.899999991</v>
      </c>
      <c r="J21" s="532"/>
      <c r="K21" s="532"/>
    </row>
    <row r="22" spans="1:11" x14ac:dyDescent="0.25">
      <c r="A22" s="537">
        <v>16</v>
      </c>
      <c r="B22" s="538" t="s">
        <v>591</v>
      </c>
      <c r="C22" s="546">
        <f>C13+C14+C15+C17</f>
        <v>2362718.9899999998</v>
      </c>
      <c r="D22" s="546">
        <f>D13+D14+D15+D17</f>
        <v>13971322.219999993</v>
      </c>
      <c r="E22" s="546">
        <f>E13+E14+E15+E17</f>
        <v>774714.59999999986</v>
      </c>
      <c r="F22" s="546">
        <f>F13+F14+F15+F17</f>
        <v>275699.83000000007</v>
      </c>
      <c r="G22" s="546">
        <f>G21</f>
        <v>0</v>
      </c>
      <c r="H22" s="546">
        <f>H13+H14+H15+H16+H17</f>
        <v>1050</v>
      </c>
      <c r="I22" s="619">
        <f>C22+D22-E22-F22-G22</f>
        <v>15283626.779999994</v>
      </c>
    </row>
    <row r="23" spans="1:11" x14ac:dyDescent="0.25">
      <c r="A23" s="537">
        <v>17</v>
      </c>
      <c r="B23" s="538" t="s">
        <v>592</v>
      </c>
      <c r="C23" s="546"/>
      <c r="D23" s="546">
        <v>34841407.970000006</v>
      </c>
      <c r="E23" s="546"/>
      <c r="F23" s="546">
        <v>100000</v>
      </c>
      <c r="G23" s="546"/>
      <c r="H23" s="546"/>
      <c r="I23" s="619">
        <f>C23+D23-E23-F23-G23</f>
        <v>34741407.970000006</v>
      </c>
    </row>
    <row r="26" spans="1:11" ht="42.4" customHeight="1" x14ac:dyDescent="0.25">
      <c r="B26" s="592" t="s">
        <v>571</v>
      </c>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EAC1-9A88-4296-8ECF-436885CB8F2A}">
  <dimension ref="A1:I43"/>
  <sheetViews>
    <sheetView showGridLines="0" zoomScale="85" zoomScaleNormal="85" workbookViewId="0">
      <selection activeCell="C7" sqref="C7:I34"/>
    </sheetView>
  </sheetViews>
  <sheetFormatPr defaultColWidth="9.28515625" defaultRowHeight="12.75" x14ac:dyDescent="0.25"/>
  <cols>
    <col min="1" max="1" width="11" style="514" bestFit="1" customWidth="1"/>
    <col min="2" max="2" width="93.42578125" style="514" customWidth="1"/>
    <col min="3" max="8" width="22" style="514" customWidth="1"/>
    <col min="9" max="9" width="42.28515625" style="514" bestFit="1" customWidth="1"/>
    <col min="10" max="16384" width="9.28515625" style="514"/>
  </cols>
  <sheetData>
    <row r="1" spans="1:9" x14ac:dyDescent="0.25">
      <c r="A1" s="513" t="s">
        <v>30</v>
      </c>
      <c r="B1" s="514" t="s">
        <v>2</v>
      </c>
    </row>
    <row r="2" spans="1:9" x14ac:dyDescent="0.25">
      <c r="A2" s="513" t="s">
        <v>31</v>
      </c>
      <c r="B2" s="539">
        <v>44742</v>
      </c>
    </row>
    <row r="3" spans="1:9" x14ac:dyDescent="0.25">
      <c r="A3" s="516" t="s">
        <v>593</v>
      </c>
      <c r="B3" s="517"/>
    </row>
    <row r="4" spans="1:9" x14ac:dyDescent="0.25">
      <c r="C4" s="529" t="s">
        <v>573</v>
      </c>
      <c r="D4" s="529" t="s">
        <v>574</v>
      </c>
      <c r="E4" s="529" t="s">
        <v>575</v>
      </c>
      <c r="F4" s="529" t="s">
        <v>576</v>
      </c>
      <c r="G4" s="529" t="s">
        <v>577</v>
      </c>
      <c r="H4" s="529" t="s">
        <v>578</v>
      </c>
      <c r="I4" s="529" t="s">
        <v>579</v>
      </c>
    </row>
    <row r="5" spans="1:9" ht="41.65" customHeight="1" x14ac:dyDescent="0.25">
      <c r="A5" s="680" t="s">
        <v>594</v>
      </c>
      <c r="B5" s="681"/>
      <c r="C5" s="694" t="s">
        <v>581</v>
      </c>
      <c r="D5" s="694"/>
      <c r="E5" s="694" t="s">
        <v>582</v>
      </c>
      <c r="F5" s="694" t="s">
        <v>583</v>
      </c>
      <c r="G5" s="692" t="s">
        <v>584</v>
      </c>
      <c r="H5" s="692" t="s">
        <v>585</v>
      </c>
      <c r="I5" s="530" t="s">
        <v>586</v>
      </c>
    </row>
    <row r="6" spans="1:9" ht="41.65" customHeight="1" x14ac:dyDescent="0.25">
      <c r="A6" s="684"/>
      <c r="B6" s="685"/>
      <c r="C6" s="556" t="s">
        <v>587</v>
      </c>
      <c r="D6" s="556" t="s">
        <v>588</v>
      </c>
      <c r="E6" s="694"/>
      <c r="F6" s="694"/>
      <c r="G6" s="693"/>
      <c r="H6" s="693"/>
      <c r="I6" s="530" t="s">
        <v>589</v>
      </c>
    </row>
    <row r="7" spans="1:9" x14ac:dyDescent="0.25">
      <c r="A7" s="540">
        <v>1</v>
      </c>
      <c r="B7" s="541" t="s">
        <v>595</v>
      </c>
      <c r="C7" s="540">
        <v>21683.439999999999</v>
      </c>
      <c r="D7" s="540">
        <v>31998685.379999999</v>
      </c>
      <c r="E7" s="540">
        <v>19450.359999999997</v>
      </c>
      <c r="F7" s="540">
        <v>6770.5299999999979</v>
      </c>
      <c r="G7" s="540"/>
      <c r="H7" s="540">
        <v>650</v>
      </c>
      <c r="I7" s="594">
        <f t="shared" ref="I7:I33" si="0">C7+D7-E7-F7-G7</f>
        <v>31994147.93</v>
      </c>
    </row>
    <row r="8" spans="1:9" x14ac:dyDescent="0.25">
      <c r="A8" s="540">
        <v>2</v>
      </c>
      <c r="B8" s="541" t="s">
        <v>596</v>
      </c>
      <c r="C8" s="540">
        <v>52709.399999999994</v>
      </c>
      <c r="D8" s="540">
        <v>1504914.7000000002</v>
      </c>
      <c r="E8" s="540">
        <v>22435.33</v>
      </c>
      <c r="F8" s="540">
        <v>15111.550000000001</v>
      </c>
      <c r="G8" s="540"/>
      <c r="H8" s="540">
        <v>0</v>
      </c>
      <c r="I8" s="594">
        <f t="shared" si="0"/>
        <v>1520077.22</v>
      </c>
    </row>
    <row r="9" spans="1:9" x14ac:dyDescent="0.25">
      <c r="A9" s="540">
        <v>3</v>
      </c>
      <c r="B9" s="541" t="s">
        <v>597</v>
      </c>
      <c r="C9" s="540">
        <v>0</v>
      </c>
      <c r="D9" s="540">
        <v>0</v>
      </c>
      <c r="E9" s="540">
        <v>0</v>
      </c>
      <c r="F9" s="540">
        <v>0</v>
      </c>
      <c r="G9" s="540"/>
      <c r="H9" s="540">
        <v>0</v>
      </c>
      <c r="I9" s="594">
        <f t="shared" si="0"/>
        <v>0</v>
      </c>
    </row>
    <row r="10" spans="1:9" x14ac:dyDescent="0.25">
      <c r="A10" s="540">
        <v>4</v>
      </c>
      <c r="B10" s="541" t="s">
        <v>598</v>
      </c>
      <c r="C10" s="540">
        <v>0</v>
      </c>
      <c r="D10" s="540">
        <v>101232.44</v>
      </c>
      <c r="E10" s="540">
        <v>0</v>
      </c>
      <c r="F10" s="540">
        <v>2020</v>
      </c>
      <c r="G10" s="540"/>
      <c r="H10" s="540">
        <v>0</v>
      </c>
      <c r="I10" s="594">
        <f t="shared" si="0"/>
        <v>99212.44</v>
      </c>
    </row>
    <row r="11" spans="1:9" x14ac:dyDescent="0.25">
      <c r="A11" s="540">
        <v>5</v>
      </c>
      <c r="B11" s="541" t="s">
        <v>599</v>
      </c>
      <c r="C11" s="540">
        <v>1103420.1499999999</v>
      </c>
      <c r="D11" s="540">
        <v>3989604.08</v>
      </c>
      <c r="E11" s="540">
        <v>331177.34999999998</v>
      </c>
      <c r="F11" s="540">
        <v>79547.239999999991</v>
      </c>
      <c r="G11" s="540"/>
      <c r="H11" s="540">
        <v>0</v>
      </c>
      <c r="I11" s="594">
        <f t="shared" si="0"/>
        <v>4682299.6400000006</v>
      </c>
    </row>
    <row r="12" spans="1:9" x14ac:dyDescent="0.25">
      <c r="A12" s="540">
        <v>6</v>
      </c>
      <c r="B12" s="541" t="s">
        <v>600</v>
      </c>
      <c r="C12" s="540">
        <v>1579.1799999999998</v>
      </c>
      <c r="D12" s="540">
        <v>53050.249999999993</v>
      </c>
      <c r="E12" s="540">
        <v>1286.2600000000002</v>
      </c>
      <c r="F12" s="540">
        <v>1049.8899999999999</v>
      </c>
      <c r="G12" s="540"/>
      <c r="H12" s="540">
        <v>0</v>
      </c>
      <c r="I12" s="594">
        <f t="shared" si="0"/>
        <v>52293.279999999992</v>
      </c>
    </row>
    <row r="13" spans="1:9" x14ac:dyDescent="0.25">
      <c r="A13" s="540">
        <v>7</v>
      </c>
      <c r="B13" s="541" t="s">
        <v>601</v>
      </c>
      <c r="C13" s="540">
        <v>806.6</v>
      </c>
      <c r="D13" s="540">
        <v>58089.43</v>
      </c>
      <c r="E13" s="540">
        <v>688.1</v>
      </c>
      <c r="F13" s="540">
        <v>1153.77</v>
      </c>
      <c r="G13" s="540"/>
      <c r="H13" s="540">
        <v>0</v>
      </c>
      <c r="I13" s="594">
        <f t="shared" si="0"/>
        <v>57054.16</v>
      </c>
    </row>
    <row r="14" spans="1:9" x14ac:dyDescent="0.25">
      <c r="A14" s="540">
        <v>8</v>
      </c>
      <c r="B14" s="541" t="s">
        <v>602</v>
      </c>
      <c r="C14" s="540">
        <v>1558.04</v>
      </c>
      <c r="D14" s="540">
        <v>2456.25</v>
      </c>
      <c r="E14" s="540">
        <v>598.4799999999999</v>
      </c>
      <c r="F14" s="540">
        <v>42.66</v>
      </c>
      <c r="G14" s="540"/>
      <c r="H14" s="540">
        <v>0</v>
      </c>
      <c r="I14" s="594">
        <f t="shared" si="0"/>
        <v>3373.15</v>
      </c>
    </row>
    <row r="15" spans="1:9" x14ac:dyDescent="0.25">
      <c r="A15" s="540">
        <v>9</v>
      </c>
      <c r="B15" s="541" t="s">
        <v>603</v>
      </c>
      <c r="C15" s="540">
        <v>0</v>
      </c>
      <c r="D15" s="540">
        <v>16023.300000000001</v>
      </c>
      <c r="E15" s="540">
        <v>16.22</v>
      </c>
      <c r="F15" s="540">
        <v>314.52</v>
      </c>
      <c r="G15" s="540"/>
      <c r="H15" s="540">
        <v>0</v>
      </c>
      <c r="I15" s="594">
        <f t="shared" si="0"/>
        <v>15692.560000000001</v>
      </c>
    </row>
    <row r="16" spans="1:9" ht="12" customHeight="1" x14ac:dyDescent="0.25">
      <c r="A16" s="540">
        <v>10</v>
      </c>
      <c r="B16" s="541" t="s">
        <v>604</v>
      </c>
      <c r="C16" s="540">
        <v>0</v>
      </c>
      <c r="D16" s="540">
        <v>570.51</v>
      </c>
      <c r="E16" s="540">
        <v>0</v>
      </c>
      <c r="F16" s="540">
        <v>11.16</v>
      </c>
      <c r="G16" s="540"/>
      <c r="H16" s="540">
        <v>0</v>
      </c>
      <c r="I16" s="594">
        <f t="shared" si="0"/>
        <v>559.35</v>
      </c>
    </row>
    <row r="17" spans="1:9" x14ac:dyDescent="0.25">
      <c r="A17" s="540">
        <v>11</v>
      </c>
      <c r="B17" s="541" t="s">
        <v>605</v>
      </c>
      <c r="C17" s="540">
        <v>456.03999999999996</v>
      </c>
      <c r="D17" s="540">
        <v>934.98</v>
      </c>
      <c r="E17" s="540">
        <v>404.33</v>
      </c>
      <c r="F17" s="540">
        <v>11.52</v>
      </c>
      <c r="G17" s="540"/>
      <c r="H17" s="540">
        <v>0</v>
      </c>
      <c r="I17" s="594">
        <f t="shared" si="0"/>
        <v>975.17000000000007</v>
      </c>
    </row>
    <row r="18" spans="1:9" x14ac:dyDescent="0.25">
      <c r="A18" s="540">
        <v>12</v>
      </c>
      <c r="B18" s="541" t="s">
        <v>606</v>
      </c>
      <c r="C18" s="540">
        <v>10217.469999999999</v>
      </c>
      <c r="D18" s="540">
        <v>164249.95000000004</v>
      </c>
      <c r="E18" s="540">
        <v>4707.26</v>
      </c>
      <c r="F18" s="540">
        <v>3235.64</v>
      </c>
      <c r="G18" s="540"/>
      <c r="H18" s="540">
        <v>0</v>
      </c>
      <c r="I18" s="594">
        <f t="shared" si="0"/>
        <v>166524.52000000002</v>
      </c>
    </row>
    <row r="19" spans="1:9" x14ac:dyDescent="0.25">
      <c r="A19" s="540">
        <v>13</v>
      </c>
      <c r="B19" s="541" t="s">
        <v>607</v>
      </c>
      <c r="C19" s="540">
        <v>3839.75</v>
      </c>
      <c r="D19" s="540">
        <v>15234.75</v>
      </c>
      <c r="E19" s="540">
        <v>2693.62</v>
      </c>
      <c r="F19" s="540">
        <v>280.11</v>
      </c>
      <c r="G19" s="540"/>
      <c r="H19" s="540">
        <v>0</v>
      </c>
      <c r="I19" s="594">
        <f t="shared" si="0"/>
        <v>16100.77</v>
      </c>
    </row>
    <row r="20" spans="1:9" x14ac:dyDescent="0.25">
      <c r="A20" s="540">
        <v>14</v>
      </c>
      <c r="B20" s="541" t="s">
        <v>608</v>
      </c>
      <c r="C20" s="540">
        <v>220.98</v>
      </c>
      <c r="D20" s="540">
        <v>165432.22</v>
      </c>
      <c r="E20" s="540">
        <v>110.49</v>
      </c>
      <c r="F20" s="540">
        <v>3235.5</v>
      </c>
      <c r="G20" s="540"/>
      <c r="H20" s="540">
        <v>0</v>
      </c>
      <c r="I20" s="594">
        <f t="shared" si="0"/>
        <v>162307.21000000002</v>
      </c>
    </row>
    <row r="21" spans="1:9" x14ac:dyDescent="0.25">
      <c r="A21" s="540">
        <v>15</v>
      </c>
      <c r="B21" s="541" t="s">
        <v>609</v>
      </c>
      <c r="C21" s="540">
        <v>1267.6400000000001</v>
      </c>
      <c r="D21" s="540">
        <v>59303.33</v>
      </c>
      <c r="E21" s="540">
        <v>854.33</v>
      </c>
      <c r="F21" s="540">
        <v>1176.77</v>
      </c>
      <c r="G21" s="540"/>
      <c r="H21" s="540">
        <v>0</v>
      </c>
      <c r="I21" s="594">
        <f t="shared" si="0"/>
        <v>58539.87</v>
      </c>
    </row>
    <row r="22" spans="1:9" x14ac:dyDescent="0.25">
      <c r="A22" s="540">
        <v>16</v>
      </c>
      <c r="B22" s="541" t="s">
        <v>610</v>
      </c>
      <c r="C22" s="540">
        <v>302.17</v>
      </c>
      <c r="D22" s="540">
        <v>0</v>
      </c>
      <c r="E22" s="540">
        <v>302.17</v>
      </c>
      <c r="F22" s="540">
        <v>0</v>
      </c>
      <c r="G22" s="540"/>
      <c r="H22" s="540">
        <v>0</v>
      </c>
      <c r="I22" s="594">
        <f t="shared" si="0"/>
        <v>0</v>
      </c>
    </row>
    <row r="23" spans="1:9" x14ac:dyDescent="0.25">
      <c r="A23" s="540">
        <v>17</v>
      </c>
      <c r="B23" s="541" t="s">
        <v>611</v>
      </c>
      <c r="C23" s="540">
        <v>9287.15</v>
      </c>
      <c r="D23" s="540">
        <v>0</v>
      </c>
      <c r="E23" s="540">
        <v>2786.15</v>
      </c>
      <c r="F23" s="540">
        <v>0</v>
      </c>
      <c r="G23" s="540"/>
      <c r="H23" s="540">
        <v>0</v>
      </c>
      <c r="I23" s="594">
        <f t="shared" si="0"/>
        <v>6501</v>
      </c>
    </row>
    <row r="24" spans="1:9" x14ac:dyDescent="0.25">
      <c r="A24" s="540">
        <v>18</v>
      </c>
      <c r="B24" s="541" t="s">
        <v>612</v>
      </c>
      <c r="C24" s="540">
        <v>546.49</v>
      </c>
      <c r="D24" s="540">
        <v>25610.65</v>
      </c>
      <c r="E24" s="540">
        <v>414.01</v>
      </c>
      <c r="F24" s="540">
        <v>507.25</v>
      </c>
      <c r="G24" s="540"/>
      <c r="H24" s="540">
        <v>0</v>
      </c>
      <c r="I24" s="594">
        <f t="shared" si="0"/>
        <v>25235.880000000005</v>
      </c>
    </row>
    <row r="25" spans="1:9" x14ac:dyDescent="0.25">
      <c r="A25" s="540">
        <v>19</v>
      </c>
      <c r="B25" s="541" t="s">
        <v>613</v>
      </c>
      <c r="C25" s="540">
        <v>751.65000000000009</v>
      </c>
      <c r="D25" s="540">
        <v>8007.59</v>
      </c>
      <c r="E25" s="540">
        <v>655.57</v>
      </c>
      <c r="F25" s="540">
        <v>157.05000000000001</v>
      </c>
      <c r="G25" s="540"/>
      <c r="H25" s="540">
        <v>0</v>
      </c>
      <c r="I25" s="594">
        <f t="shared" si="0"/>
        <v>7946.62</v>
      </c>
    </row>
    <row r="26" spans="1:9" x14ac:dyDescent="0.25">
      <c r="A26" s="540">
        <v>20</v>
      </c>
      <c r="B26" s="541" t="s">
        <v>614</v>
      </c>
      <c r="C26" s="540">
        <v>1235.96</v>
      </c>
      <c r="D26" s="540">
        <v>40221.64</v>
      </c>
      <c r="E26" s="540">
        <v>883.89999999999986</v>
      </c>
      <c r="F26" s="540">
        <v>783.34999999999991</v>
      </c>
      <c r="G26" s="540"/>
      <c r="H26" s="540">
        <v>0</v>
      </c>
      <c r="I26" s="594">
        <f t="shared" si="0"/>
        <v>39790.35</v>
      </c>
    </row>
    <row r="27" spans="1:9" x14ac:dyDescent="0.25">
      <c r="A27" s="540">
        <v>21</v>
      </c>
      <c r="B27" s="541" t="s">
        <v>615</v>
      </c>
      <c r="C27" s="540">
        <v>235.71</v>
      </c>
      <c r="D27" s="540">
        <v>2944.66</v>
      </c>
      <c r="E27" s="540">
        <v>182.76</v>
      </c>
      <c r="F27" s="540">
        <v>45.150000000000006</v>
      </c>
      <c r="G27" s="540"/>
      <c r="H27" s="540">
        <v>0</v>
      </c>
      <c r="I27" s="594">
        <f t="shared" si="0"/>
        <v>2952.4599999999996</v>
      </c>
    </row>
    <row r="28" spans="1:9" x14ac:dyDescent="0.25">
      <c r="A28" s="540">
        <v>22</v>
      </c>
      <c r="B28" s="541" t="s">
        <v>616</v>
      </c>
      <c r="C28" s="540">
        <v>53557.95</v>
      </c>
      <c r="D28" s="540">
        <v>2086631.62</v>
      </c>
      <c r="E28" s="540">
        <v>26361.33</v>
      </c>
      <c r="F28" s="540">
        <v>40768.430000000015</v>
      </c>
      <c r="G28" s="540"/>
      <c r="H28" s="540">
        <v>0</v>
      </c>
      <c r="I28" s="594">
        <f t="shared" si="0"/>
        <v>2073059.8100000003</v>
      </c>
    </row>
    <row r="29" spans="1:9" x14ac:dyDescent="0.25">
      <c r="A29" s="540">
        <v>23</v>
      </c>
      <c r="B29" s="541" t="s">
        <v>617</v>
      </c>
      <c r="C29" s="540">
        <v>59964.869999999995</v>
      </c>
      <c r="D29" s="540">
        <v>4798021.1699999981</v>
      </c>
      <c r="E29" s="540">
        <v>44935.29</v>
      </c>
      <c r="F29" s="540">
        <v>94792.33000000006</v>
      </c>
      <c r="G29" s="540"/>
      <c r="H29" s="540">
        <v>400</v>
      </c>
      <c r="I29" s="594">
        <f t="shared" si="0"/>
        <v>4718258.4199999981</v>
      </c>
    </row>
    <row r="30" spans="1:9" x14ac:dyDescent="0.25">
      <c r="A30" s="540">
        <v>24</v>
      </c>
      <c r="B30" s="541" t="s">
        <v>618</v>
      </c>
      <c r="C30" s="540">
        <v>963243.99</v>
      </c>
      <c r="D30" s="540">
        <v>2118.8300000000004</v>
      </c>
      <c r="E30" s="540">
        <v>289408.19</v>
      </c>
      <c r="F30" s="540">
        <v>41.66</v>
      </c>
      <c r="G30" s="540"/>
      <c r="H30" s="540">
        <v>0</v>
      </c>
      <c r="I30" s="594">
        <f t="shared" si="0"/>
        <v>675912.96999999986</v>
      </c>
    </row>
    <row r="31" spans="1:9" x14ac:dyDescent="0.25">
      <c r="A31" s="540">
        <v>25</v>
      </c>
      <c r="B31" s="541" t="s">
        <v>619</v>
      </c>
      <c r="C31" s="540">
        <v>75834.359999999986</v>
      </c>
      <c r="D31" s="540">
        <v>1271898.7699999998</v>
      </c>
      <c r="E31" s="540">
        <v>24363.56</v>
      </c>
      <c r="F31" s="540">
        <v>24643.749999999996</v>
      </c>
      <c r="G31" s="540"/>
      <c r="H31" s="540">
        <v>0</v>
      </c>
      <c r="I31" s="594">
        <f t="shared" si="0"/>
        <v>1298725.8199999998</v>
      </c>
    </row>
    <row r="32" spans="1:9" x14ac:dyDescent="0.25">
      <c r="A32" s="540">
        <v>26</v>
      </c>
      <c r="B32" s="541" t="s">
        <v>620</v>
      </c>
      <c r="C32" s="540">
        <v>0</v>
      </c>
      <c r="D32" s="540">
        <v>0</v>
      </c>
      <c r="E32" s="540">
        <v>0</v>
      </c>
      <c r="F32" s="540">
        <v>0</v>
      </c>
      <c r="G32" s="540"/>
      <c r="H32" s="540">
        <v>0</v>
      </c>
      <c r="I32" s="594">
        <f t="shared" si="0"/>
        <v>0</v>
      </c>
    </row>
    <row r="33" spans="1:9" x14ac:dyDescent="0.25">
      <c r="A33" s="540">
        <v>27</v>
      </c>
      <c r="B33" s="540" t="s">
        <v>97</v>
      </c>
      <c r="C33" s="540">
        <v>93389.04</v>
      </c>
      <c r="D33" s="540">
        <v>26651405.389999997</v>
      </c>
      <c r="E33" s="540">
        <f>'18. Assets by Exposure classes'!E20</f>
        <v>-191163.41</v>
      </c>
      <c r="F33" s="540">
        <v>100000</v>
      </c>
      <c r="G33" s="540"/>
      <c r="H33" s="540"/>
      <c r="I33" s="594">
        <f t="shared" si="0"/>
        <v>26835957.839999996</v>
      </c>
    </row>
    <row r="34" spans="1:9" x14ac:dyDescent="0.25">
      <c r="A34" s="540">
        <v>28</v>
      </c>
      <c r="B34" s="527" t="s">
        <v>84</v>
      </c>
      <c r="C34" s="527">
        <f>SUM(C7:C33)</f>
        <v>2456108.0299999998</v>
      </c>
      <c r="D34" s="527">
        <f>SUM(D7:D33)</f>
        <v>73016641.889999971</v>
      </c>
      <c r="E34" s="527">
        <f>SUM(E7:E33)</f>
        <v>583551.65</v>
      </c>
      <c r="F34" s="527">
        <f>SUM(F7:F33)</f>
        <v>375699.83000000007</v>
      </c>
      <c r="G34" s="527">
        <f>'18. Assets by Exposure classes'!G22</f>
        <v>0</v>
      </c>
      <c r="H34" s="527">
        <f>SUM(H7:H33)</f>
        <v>1050</v>
      </c>
      <c r="I34" s="594">
        <f>C34+D34-E34-F34-G34+'18. Assets by Exposure classes'!C27</f>
        <v>74513498.439999968</v>
      </c>
    </row>
    <row r="36" spans="1:9" x14ac:dyDescent="0.25">
      <c r="B36" s="542"/>
    </row>
    <row r="42" spans="1:9" x14ac:dyDescent="0.25">
      <c r="A42" s="536"/>
      <c r="B42" s="536"/>
    </row>
    <row r="43" spans="1:9" x14ac:dyDescent="0.25">
      <c r="A43" s="536"/>
      <c r="B43" s="536"/>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9948-8A94-4DBF-9920-1B7D62E6F7FF}">
  <dimension ref="A1:D19"/>
  <sheetViews>
    <sheetView showGridLines="0" zoomScaleNormal="100" workbookViewId="0">
      <selection activeCell="C6" sqref="C6:D19"/>
    </sheetView>
  </sheetViews>
  <sheetFormatPr defaultColWidth="9.28515625" defaultRowHeight="12.75" x14ac:dyDescent="0.25"/>
  <cols>
    <col min="1" max="1" width="11.7109375" style="514" bestFit="1" customWidth="1"/>
    <col min="2" max="2" width="108" style="514" bestFit="1" customWidth="1"/>
    <col min="3" max="3" width="35.5703125" style="514" customWidth="1"/>
    <col min="4" max="4" width="38.42578125" style="514" customWidth="1"/>
    <col min="5" max="16384" width="9.28515625" style="514"/>
  </cols>
  <sheetData>
    <row r="1" spans="1:4" x14ac:dyDescent="0.25">
      <c r="A1" s="513" t="s">
        <v>30</v>
      </c>
      <c r="B1" s="514" t="s">
        <v>2</v>
      </c>
    </row>
    <row r="2" spans="1:4" x14ac:dyDescent="0.25">
      <c r="A2" s="513" t="s">
        <v>31</v>
      </c>
      <c r="B2" s="539">
        <v>44742</v>
      </c>
    </row>
    <row r="3" spans="1:4" x14ac:dyDescent="0.25">
      <c r="A3" s="516" t="s">
        <v>621</v>
      </c>
      <c r="B3" s="517"/>
    </row>
    <row r="5" spans="1:4" ht="51" x14ac:dyDescent="0.25">
      <c r="A5" s="695" t="s">
        <v>622</v>
      </c>
      <c r="B5" s="695"/>
      <c r="C5" s="518" t="s">
        <v>623</v>
      </c>
      <c r="D5" s="518" t="s">
        <v>624</v>
      </c>
    </row>
    <row r="6" spans="1:4" x14ac:dyDescent="0.25">
      <c r="A6" s="543">
        <v>1</v>
      </c>
      <c r="B6" s="544" t="s">
        <v>625</v>
      </c>
      <c r="C6" s="593">
        <v>1111350.8700000001</v>
      </c>
      <c r="D6" s="546">
        <v>100000</v>
      </c>
    </row>
    <row r="7" spans="1:4" x14ac:dyDescent="0.25">
      <c r="A7" s="545">
        <v>2</v>
      </c>
      <c r="B7" s="544" t="s">
        <v>626</v>
      </c>
      <c r="C7" s="546">
        <f>SUM(C8:C10)</f>
        <v>83475.512000000002</v>
      </c>
      <c r="D7" s="546">
        <f>SUM(D8:D11)</f>
        <v>0</v>
      </c>
    </row>
    <row r="8" spans="1:4" x14ac:dyDescent="0.25">
      <c r="A8" s="545">
        <v>2.1</v>
      </c>
      <c r="B8" s="547" t="s">
        <v>627</v>
      </c>
      <c r="C8" s="546">
        <v>60103.953200000004</v>
      </c>
      <c r="D8" s="546"/>
    </row>
    <row r="9" spans="1:4" x14ac:dyDescent="0.25">
      <c r="A9" s="545">
        <v>2.2000000000000002</v>
      </c>
      <c r="B9" s="547" t="s">
        <v>628</v>
      </c>
      <c r="C9" s="546">
        <v>23371.558799999999</v>
      </c>
      <c r="D9" s="546"/>
    </row>
    <row r="10" spans="1:4" x14ac:dyDescent="0.25">
      <c r="A10" s="545">
        <v>2.2999999999999998</v>
      </c>
      <c r="B10" s="547" t="s">
        <v>629</v>
      </c>
      <c r="C10" s="546"/>
      <c r="D10" s="546"/>
    </row>
    <row r="11" spans="1:4" x14ac:dyDescent="0.25">
      <c r="A11" s="545">
        <v>2.4</v>
      </c>
      <c r="B11" s="547" t="s">
        <v>630</v>
      </c>
      <c r="C11" s="546">
        <v>0</v>
      </c>
      <c r="D11" s="546"/>
    </row>
    <row r="12" spans="1:4" x14ac:dyDescent="0.25">
      <c r="A12" s="543">
        <v>3</v>
      </c>
      <c r="B12" s="544" t="s">
        <v>631</v>
      </c>
      <c r="C12" s="546">
        <f>SUM(C13:C17)</f>
        <v>144411.39600000001</v>
      </c>
      <c r="D12" s="546">
        <f>SUM(D13:D18)</f>
        <v>0</v>
      </c>
    </row>
    <row r="13" spans="1:4" x14ac:dyDescent="0.25">
      <c r="A13" s="545">
        <v>3.1</v>
      </c>
      <c r="B13" s="547" t="s">
        <v>632</v>
      </c>
      <c r="C13" s="546">
        <v>0</v>
      </c>
      <c r="D13" s="546"/>
    </row>
    <row r="14" spans="1:4" x14ac:dyDescent="0.25">
      <c r="A14" s="545">
        <v>3.2</v>
      </c>
      <c r="B14" s="547" t="s">
        <v>633</v>
      </c>
      <c r="C14" s="546">
        <v>35424.261599999998</v>
      </c>
      <c r="D14" s="546"/>
    </row>
    <row r="15" spans="1:4" x14ac:dyDescent="0.25">
      <c r="A15" s="545">
        <v>3.3</v>
      </c>
      <c r="B15" s="547" t="s">
        <v>634</v>
      </c>
      <c r="C15" s="546">
        <v>63640.907999999996</v>
      </c>
      <c r="D15" s="546"/>
    </row>
    <row r="16" spans="1:4" x14ac:dyDescent="0.25">
      <c r="A16" s="545">
        <v>3.4</v>
      </c>
      <c r="B16" s="547" t="s">
        <v>635</v>
      </c>
      <c r="C16" s="546">
        <v>1583.2264</v>
      </c>
      <c r="D16" s="546"/>
    </row>
    <row r="17" spans="1:4" x14ac:dyDescent="0.25">
      <c r="A17" s="545">
        <v>3.5</v>
      </c>
      <c r="B17" s="547" t="s">
        <v>636</v>
      </c>
      <c r="C17" s="546">
        <v>43763</v>
      </c>
      <c r="D17" s="546"/>
    </row>
    <row r="18" spans="1:4" x14ac:dyDescent="0.25">
      <c r="A18" s="545">
        <v>3.6</v>
      </c>
      <c r="B18" s="547" t="s">
        <v>637</v>
      </c>
      <c r="C18" s="546"/>
      <c r="D18" s="546"/>
    </row>
    <row r="19" spans="1:4" x14ac:dyDescent="0.25">
      <c r="A19" s="548">
        <v>4</v>
      </c>
      <c r="B19" s="544" t="s">
        <v>638</v>
      </c>
      <c r="C19" s="593">
        <v>1050414.8899999999</v>
      </c>
      <c r="D19" s="593">
        <f>D6+D7-D12</f>
        <v>100000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4E63-5C06-4A23-A696-546DF7D2EF49}">
  <dimension ref="A1:D24"/>
  <sheetViews>
    <sheetView showGridLines="0" zoomScale="115" zoomScaleNormal="115" workbookViewId="0">
      <selection activeCell="C7" sqref="C7:C19"/>
    </sheetView>
  </sheetViews>
  <sheetFormatPr defaultColWidth="9.28515625" defaultRowHeight="12.75" x14ac:dyDescent="0.25"/>
  <cols>
    <col min="1" max="1" width="11.7109375" style="514" bestFit="1" customWidth="1"/>
    <col min="2" max="2" width="124.7109375" style="514" customWidth="1"/>
    <col min="3" max="3" width="21.5703125" style="514" customWidth="1"/>
    <col min="4" max="4" width="49.28515625" style="514" customWidth="1"/>
    <col min="5" max="16384" width="9.28515625" style="514"/>
  </cols>
  <sheetData>
    <row r="1" spans="1:4" x14ac:dyDescent="0.25">
      <c r="A1" s="513" t="s">
        <v>30</v>
      </c>
      <c r="B1" s="514" t="s">
        <v>2</v>
      </c>
    </row>
    <row r="2" spans="1:4" x14ac:dyDescent="0.25">
      <c r="A2" s="513" t="s">
        <v>31</v>
      </c>
      <c r="B2" s="539">
        <v>44742</v>
      </c>
    </row>
    <row r="3" spans="1:4" x14ac:dyDescent="0.25">
      <c r="A3" s="516" t="s">
        <v>639</v>
      </c>
      <c r="B3" s="539"/>
    </row>
    <row r="4" spans="1:4" x14ac:dyDescent="0.25">
      <c r="A4" s="516"/>
    </row>
    <row r="5" spans="1:4" ht="15" customHeight="1" x14ac:dyDescent="0.25">
      <c r="A5" s="696" t="s">
        <v>640</v>
      </c>
      <c r="B5" s="697"/>
      <c r="C5" s="686" t="s">
        <v>641</v>
      </c>
      <c r="D5" s="700" t="s">
        <v>642</v>
      </c>
    </row>
    <row r="6" spans="1:4" x14ac:dyDescent="0.25">
      <c r="A6" s="698"/>
      <c r="B6" s="699"/>
      <c r="C6" s="689"/>
      <c r="D6" s="700"/>
    </row>
    <row r="7" spans="1:4" x14ac:dyDescent="0.25">
      <c r="A7" s="527">
        <v>1</v>
      </c>
      <c r="B7" s="527" t="s">
        <v>643</v>
      </c>
      <c r="C7" s="546">
        <v>2637659.27</v>
      </c>
      <c r="D7" s="595"/>
    </row>
    <row r="8" spans="1:4" x14ac:dyDescent="0.25">
      <c r="A8" s="540">
        <v>2</v>
      </c>
      <c r="B8" s="540" t="s">
        <v>644</v>
      </c>
      <c r="C8" s="546">
        <v>0</v>
      </c>
      <c r="D8" s="595"/>
    </row>
    <row r="9" spans="1:4" x14ac:dyDescent="0.25">
      <c r="A9" s="540">
        <v>3</v>
      </c>
      <c r="B9" s="596" t="s">
        <v>645</v>
      </c>
      <c r="C9" s="546"/>
      <c r="D9" s="595"/>
    </row>
    <row r="10" spans="1:4" x14ac:dyDescent="0.25">
      <c r="A10" s="540">
        <v>4</v>
      </c>
      <c r="B10" s="540" t="s">
        <v>646</v>
      </c>
      <c r="C10" s="546">
        <f>SUM(C11:C18)</f>
        <v>274940.27</v>
      </c>
      <c r="D10" s="595"/>
    </row>
    <row r="11" spans="1:4" x14ac:dyDescent="0.25">
      <c r="A11" s="540">
        <v>5</v>
      </c>
      <c r="B11" s="597" t="s">
        <v>647</v>
      </c>
      <c r="C11" s="546"/>
      <c r="D11" s="595"/>
    </row>
    <row r="12" spans="1:4" x14ac:dyDescent="0.25">
      <c r="A12" s="540">
        <v>6</v>
      </c>
      <c r="B12" s="597" t="s">
        <v>648</v>
      </c>
      <c r="C12" s="546"/>
      <c r="D12" s="595"/>
    </row>
    <row r="13" spans="1:4" x14ac:dyDescent="0.25">
      <c r="A13" s="540">
        <v>7</v>
      </c>
      <c r="B13" s="597" t="s">
        <v>649</v>
      </c>
      <c r="C13" s="546">
        <v>85438.27</v>
      </c>
      <c r="D13" s="595"/>
    </row>
    <row r="14" spans="1:4" x14ac:dyDescent="0.25">
      <c r="A14" s="540">
        <v>9</v>
      </c>
      <c r="B14" s="597" t="s">
        <v>650</v>
      </c>
      <c r="C14" s="546"/>
      <c r="D14" s="540"/>
    </row>
    <row r="15" spans="1:4" x14ac:dyDescent="0.25">
      <c r="A15" s="540">
        <v>10</v>
      </c>
      <c r="B15" s="597" t="s">
        <v>651</v>
      </c>
      <c r="C15" s="546"/>
      <c r="D15" s="540"/>
    </row>
    <row r="16" spans="1:4" x14ac:dyDescent="0.25">
      <c r="A16" s="540">
        <v>11</v>
      </c>
      <c r="B16" s="597" t="s">
        <v>652</v>
      </c>
      <c r="C16" s="546">
        <f>'20. Reserves'!C13</f>
        <v>0</v>
      </c>
      <c r="D16" s="595"/>
    </row>
    <row r="17" spans="1:4" x14ac:dyDescent="0.25">
      <c r="A17" s="540">
        <v>12</v>
      </c>
      <c r="B17" s="597" t="s">
        <v>653</v>
      </c>
      <c r="C17" s="546"/>
      <c r="D17" s="540"/>
    </row>
    <row r="18" spans="1:4" ht="25.5" x14ac:dyDescent="0.25">
      <c r="A18" s="540">
        <v>13</v>
      </c>
      <c r="B18" s="597" t="s">
        <v>654</v>
      </c>
      <c r="C18" s="546">
        <v>189502</v>
      </c>
      <c r="D18" s="595"/>
    </row>
    <row r="19" spans="1:4" x14ac:dyDescent="0.25">
      <c r="A19" s="527">
        <v>14</v>
      </c>
      <c r="B19" s="558" t="s">
        <v>655</v>
      </c>
      <c r="C19" s="593">
        <v>2362719</v>
      </c>
      <c r="D19" s="598"/>
    </row>
    <row r="22" spans="1:4" x14ac:dyDescent="0.25">
      <c r="B22" s="513"/>
    </row>
    <row r="23" spans="1:4" x14ac:dyDescent="0.25">
      <c r="B23" s="513"/>
    </row>
    <row r="24" spans="1:4" x14ac:dyDescent="0.25">
      <c r="B24" s="516"/>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93B5-F363-4ACC-9C6A-BFAB6C22F979}">
  <dimension ref="A1:V28"/>
  <sheetViews>
    <sheetView showGridLines="0" tabSelected="1" zoomScale="115" zoomScaleNormal="115" workbookViewId="0">
      <selection activeCell="D2" sqref="D2"/>
    </sheetView>
  </sheetViews>
  <sheetFormatPr defaultColWidth="9.28515625" defaultRowHeight="12.75" x14ac:dyDescent="0.25"/>
  <cols>
    <col min="1" max="1" width="11.7109375" style="514" bestFit="1" customWidth="1"/>
    <col min="2" max="2" width="80.7109375" style="514" customWidth="1"/>
    <col min="3" max="3" width="18.140625" style="514" customWidth="1"/>
    <col min="4" max="5" width="22.28515625" style="514" customWidth="1"/>
    <col min="6" max="6" width="23.42578125" style="514" customWidth="1"/>
    <col min="7" max="14" width="22.28515625" style="514" customWidth="1"/>
    <col min="15" max="15" width="23.28515625" style="514" bestFit="1" customWidth="1"/>
    <col min="16" max="16" width="21.7109375" style="514" bestFit="1" customWidth="1"/>
    <col min="17" max="19" width="19" style="514" bestFit="1" customWidth="1"/>
    <col min="20" max="20" width="16.28515625" style="514" customWidth="1"/>
    <col min="21" max="21" width="10.42578125" style="514" bestFit="1" customWidth="1"/>
    <col min="22" max="22" width="20" style="514" customWidth="1"/>
    <col min="23" max="16384" width="9.28515625" style="514"/>
  </cols>
  <sheetData>
    <row r="1" spans="1:22" x14ac:dyDescent="0.25">
      <c r="A1" s="513" t="s">
        <v>30</v>
      </c>
      <c r="B1" s="514" t="s">
        <v>2</v>
      </c>
    </row>
    <row r="2" spans="1:22" x14ac:dyDescent="0.25">
      <c r="A2" s="513" t="s">
        <v>31</v>
      </c>
      <c r="B2" s="618">
        <v>44742</v>
      </c>
      <c r="C2" s="528"/>
    </row>
    <row r="3" spans="1:22" x14ac:dyDescent="0.25">
      <c r="A3" s="516" t="s">
        <v>660</v>
      </c>
      <c r="B3" s="517"/>
    </row>
    <row r="5" spans="1:22" ht="15" customHeight="1" x14ac:dyDescent="0.25">
      <c r="A5" s="686" t="s">
        <v>662</v>
      </c>
      <c r="B5" s="688"/>
      <c r="C5" s="703" t="s">
        <v>663</v>
      </c>
      <c r="D5" s="704"/>
      <c r="E5" s="704"/>
      <c r="F5" s="704"/>
      <c r="G5" s="704"/>
      <c r="H5" s="704"/>
      <c r="I5" s="704"/>
      <c r="J5" s="704"/>
      <c r="K5" s="704"/>
      <c r="L5" s="704"/>
      <c r="M5" s="704"/>
      <c r="N5" s="704"/>
      <c r="O5" s="704"/>
      <c r="P5" s="704"/>
      <c r="Q5" s="704"/>
      <c r="R5" s="704"/>
      <c r="S5" s="704"/>
      <c r="T5" s="704"/>
      <c r="U5" s="705"/>
      <c r="V5" s="549"/>
    </row>
    <row r="6" spans="1:22" x14ac:dyDescent="0.25">
      <c r="A6" s="701"/>
      <c r="B6" s="702"/>
      <c r="C6" s="706" t="s">
        <v>84</v>
      </c>
      <c r="D6" s="708" t="s">
        <v>664</v>
      </c>
      <c r="E6" s="708"/>
      <c r="F6" s="693"/>
      <c r="G6" s="709" t="s">
        <v>665</v>
      </c>
      <c r="H6" s="710"/>
      <c r="I6" s="710"/>
      <c r="J6" s="710"/>
      <c r="K6" s="711"/>
      <c r="L6" s="550"/>
      <c r="M6" s="712" t="s">
        <v>666</v>
      </c>
      <c r="N6" s="712"/>
      <c r="O6" s="693"/>
      <c r="P6" s="693"/>
      <c r="Q6" s="693"/>
      <c r="R6" s="693"/>
      <c r="S6" s="693"/>
      <c r="T6" s="693"/>
      <c r="U6" s="693"/>
      <c r="V6" s="550"/>
    </row>
    <row r="7" spans="1:22" ht="25.5" x14ac:dyDescent="0.25">
      <c r="A7" s="689"/>
      <c r="B7" s="691"/>
      <c r="C7" s="707"/>
      <c r="D7" s="551"/>
      <c r="E7" s="599" t="s">
        <v>667</v>
      </c>
      <c r="F7" s="600" t="s">
        <v>668</v>
      </c>
      <c r="G7" s="601"/>
      <c r="H7" s="600" t="s">
        <v>667</v>
      </c>
      <c r="I7" s="599" t="s">
        <v>669</v>
      </c>
      <c r="J7" s="599" t="s">
        <v>670</v>
      </c>
      <c r="K7" s="600" t="s">
        <v>671</v>
      </c>
      <c r="L7" s="602"/>
      <c r="M7" s="603" t="s">
        <v>672</v>
      </c>
      <c r="N7" s="599" t="s">
        <v>670</v>
      </c>
      <c r="O7" s="599" t="s">
        <v>673</v>
      </c>
      <c r="P7" s="599" t="s">
        <v>674</v>
      </c>
      <c r="Q7" s="599" t="s">
        <v>675</v>
      </c>
      <c r="R7" s="599" t="s">
        <v>676</v>
      </c>
      <c r="S7" s="599" t="s">
        <v>677</v>
      </c>
      <c r="T7" s="599" t="s">
        <v>678</v>
      </c>
      <c r="U7" s="599" t="s">
        <v>679</v>
      </c>
      <c r="V7" s="549"/>
    </row>
    <row r="8" spans="1:22" x14ac:dyDescent="0.25">
      <c r="A8" s="555">
        <v>1</v>
      </c>
      <c r="B8" s="527" t="s">
        <v>680</v>
      </c>
      <c r="C8" s="593">
        <f>SUM(C9:C14)</f>
        <v>16189240.490000002</v>
      </c>
      <c r="D8" s="546">
        <f t="shared" ref="D8:T8" si="0">SUM(D9:D14)</f>
        <v>13784985.060000002</v>
      </c>
      <c r="E8" s="546">
        <f t="shared" si="0"/>
        <v>73305.760000000009</v>
      </c>
      <c r="F8" s="546">
        <f t="shared" si="0"/>
        <v>124147.45</v>
      </c>
      <c r="G8" s="546">
        <f t="shared" si="0"/>
        <v>41536.439999999995</v>
      </c>
      <c r="H8" s="546">
        <f t="shared" si="0"/>
        <v>2942.91</v>
      </c>
      <c r="I8" s="546">
        <f t="shared" si="0"/>
        <v>1644.71</v>
      </c>
      <c r="J8" s="546">
        <f t="shared" si="0"/>
        <v>0</v>
      </c>
      <c r="K8" s="546">
        <f t="shared" si="0"/>
        <v>0</v>
      </c>
      <c r="L8" s="546">
        <f t="shared" si="0"/>
        <v>2362718.9899999998</v>
      </c>
      <c r="M8" s="546">
        <f t="shared" si="0"/>
        <v>297.35000000000002</v>
      </c>
      <c r="N8" s="546">
        <f t="shared" si="0"/>
        <v>3984.88</v>
      </c>
      <c r="O8" s="546">
        <f t="shared" si="0"/>
        <v>54969.66</v>
      </c>
      <c r="P8" s="546">
        <f t="shared" si="0"/>
        <v>40450.799999999996</v>
      </c>
      <c r="Q8" s="546">
        <f t="shared" si="0"/>
        <v>0</v>
      </c>
      <c r="R8" s="546">
        <f t="shared" si="0"/>
        <v>962303.57</v>
      </c>
      <c r="S8" s="546">
        <f t="shared" si="0"/>
        <v>0</v>
      </c>
      <c r="T8" s="546">
        <f t="shared" si="0"/>
        <v>6800.67</v>
      </c>
      <c r="U8" s="546">
        <f>SUM(U9:U14)</f>
        <v>73477.189999999988</v>
      </c>
    </row>
    <row r="9" spans="1:22" x14ac:dyDescent="0.25">
      <c r="A9" s="540">
        <v>1.1000000000000001</v>
      </c>
      <c r="B9" s="554" t="s">
        <v>681</v>
      </c>
      <c r="C9" s="559"/>
      <c r="D9" s="546"/>
      <c r="E9" s="546"/>
      <c r="F9" s="546"/>
      <c r="G9" s="546"/>
      <c r="H9" s="546"/>
      <c r="I9" s="546"/>
      <c r="J9" s="546"/>
      <c r="K9" s="546"/>
      <c r="L9" s="546"/>
      <c r="M9" s="546"/>
      <c r="N9" s="546"/>
      <c r="O9" s="546"/>
      <c r="P9" s="546"/>
      <c r="Q9" s="546"/>
      <c r="R9" s="546"/>
      <c r="S9" s="546"/>
      <c r="T9" s="546"/>
      <c r="U9" s="546"/>
    </row>
    <row r="10" spans="1:22" x14ac:dyDescent="0.25">
      <c r="A10" s="540">
        <v>1.2</v>
      </c>
      <c r="B10" s="554" t="s">
        <v>682</v>
      </c>
      <c r="C10" s="559"/>
      <c r="D10" s="546"/>
      <c r="E10" s="546"/>
      <c r="F10" s="546"/>
      <c r="G10" s="546"/>
      <c r="H10" s="546"/>
      <c r="I10" s="546"/>
      <c r="J10" s="546"/>
      <c r="K10" s="546"/>
      <c r="L10" s="546"/>
      <c r="M10" s="546"/>
      <c r="N10" s="546"/>
      <c r="O10" s="546"/>
      <c r="P10" s="546"/>
      <c r="Q10" s="546"/>
      <c r="R10" s="546"/>
      <c r="S10" s="546"/>
      <c r="T10" s="546"/>
      <c r="U10" s="546"/>
    </row>
    <row r="11" spans="1:22" x14ac:dyDescent="0.25">
      <c r="A11" s="540">
        <v>1.3</v>
      </c>
      <c r="B11" s="554" t="s">
        <v>683</v>
      </c>
      <c r="C11" s="559"/>
      <c r="D11" s="546"/>
      <c r="E11" s="546"/>
      <c r="F11" s="546"/>
      <c r="G11" s="546"/>
      <c r="H11" s="546"/>
      <c r="I11" s="546"/>
      <c r="J11" s="546"/>
      <c r="K11" s="546"/>
      <c r="L11" s="546"/>
      <c r="M11" s="546"/>
      <c r="N11" s="546"/>
      <c r="O11" s="546"/>
      <c r="P11" s="546"/>
      <c r="Q11" s="546"/>
      <c r="R11" s="546"/>
      <c r="S11" s="546"/>
      <c r="T11" s="546"/>
      <c r="U11" s="546"/>
    </row>
    <row r="12" spans="1:22" x14ac:dyDescent="0.25">
      <c r="A12" s="540">
        <v>1.4</v>
      </c>
      <c r="B12" s="554" t="s">
        <v>684</v>
      </c>
      <c r="C12" s="559"/>
      <c r="D12" s="546"/>
      <c r="E12" s="546"/>
      <c r="F12" s="546"/>
      <c r="G12" s="546"/>
      <c r="H12" s="546"/>
      <c r="I12" s="546"/>
      <c r="J12" s="546"/>
      <c r="K12" s="546"/>
      <c r="L12" s="546"/>
      <c r="M12" s="546"/>
      <c r="N12" s="546"/>
      <c r="O12" s="546"/>
      <c r="P12" s="546"/>
      <c r="Q12" s="546"/>
      <c r="R12" s="546"/>
      <c r="S12" s="546"/>
      <c r="T12" s="546"/>
      <c r="U12" s="546"/>
    </row>
    <row r="13" spans="1:22" x14ac:dyDescent="0.25">
      <c r="A13" s="540">
        <v>1.5</v>
      </c>
      <c r="B13" s="554" t="s">
        <v>685</v>
      </c>
      <c r="C13" s="559">
        <v>10230541.08</v>
      </c>
      <c r="D13" s="546">
        <v>8165016.8600000003</v>
      </c>
      <c r="E13" s="546">
        <v>0</v>
      </c>
      <c r="F13" s="546">
        <v>124147.45</v>
      </c>
      <c r="G13" s="546">
        <v>0</v>
      </c>
      <c r="H13" s="546">
        <v>0</v>
      </c>
      <c r="I13" s="546">
        <v>0</v>
      </c>
      <c r="J13" s="546">
        <v>0</v>
      </c>
      <c r="K13" s="546">
        <v>0</v>
      </c>
      <c r="L13" s="546">
        <v>2065524.2199999997</v>
      </c>
      <c r="M13" s="546">
        <v>0</v>
      </c>
      <c r="N13" s="546">
        <v>0</v>
      </c>
      <c r="O13" s="546">
        <v>0</v>
      </c>
      <c r="P13" s="546">
        <v>0</v>
      </c>
      <c r="Q13" s="546">
        <v>0</v>
      </c>
      <c r="R13" s="546">
        <v>962303.57</v>
      </c>
      <c r="S13" s="546">
        <v>0</v>
      </c>
      <c r="T13" s="546">
        <v>0</v>
      </c>
      <c r="U13" s="546">
        <v>0</v>
      </c>
    </row>
    <row r="14" spans="1:22" x14ac:dyDescent="0.25">
      <c r="A14" s="540">
        <v>1.6</v>
      </c>
      <c r="B14" s="554" t="s">
        <v>686</v>
      </c>
      <c r="C14" s="559">
        <v>5958699.410000002</v>
      </c>
      <c r="D14" s="546">
        <v>5619968.2000000011</v>
      </c>
      <c r="E14" s="546">
        <v>73305.760000000009</v>
      </c>
      <c r="F14" s="546">
        <v>0</v>
      </c>
      <c r="G14" s="546">
        <v>41536.439999999995</v>
      </c>
      <c r="H14" s="546">
        <v>2942.91</v>
      </c>
      <c r="I14" s="546">
        <v>1644.71</v>
      </c>
      <c r="J14" s="546">
        <v>0</v>
      </c>
      <c r="K14" s="546">
        <v>0</v>
      </c>
      <c r="L14" s="546">
        <v>297194.77</v>
      </c>
      <c r="M14" s="546">
        <v>297.35000000000002</v>
      </c>
      <c r="N14" s="546">
        <v>3984.88</v>
      </c>
      <c r="O14" s="546">
        <v>54969.66</v>
      </c>
      <c r="P14" s="546">
        <v>40450.799999999996</v>
      </c>
      <c r="Q14" s="546">
        <v>0</v>
      </c>
      <c r="R14" s="546">
        <v>0</v>
      </c>
      <c r="S14" s="546">
        <v>0</v>
      </c>
      <c r="T14" s="546">
        <v>6800.67</v>
      </c>
      <c r="U14" s="546">
        <v>73477.189999999988</v>
      </c>
    </row>
    <row r="15" spans="1:22" x14ac:dyDescent="0.25">
      <c r="A15" s="555">
        <v>2</v>
      </c>
      <c r="B15" s="527" t="s">
        <v>687</v>
      </c>
      <c r="C15" s="593">
        <f>SUM(C16:C21)</f>
        <v>33876423.810000002</v>
      </c>
      <c r="D15" s="546">
        <f t="shared" ref="D15:U15" si="1">SUM(D16:D21)</f>
        <v>33876423.810000002</v>
      </c>
      <c r="E15" s="546">
        <f t="shared" si="1"/>
        <v>0</v>
      </c>
      <c r="F15" s="546">
        <f t="shared" si="1"/>
        <v>0</v>
      </c>
      <c r="G15" s="546">
        <f t="shared" si="1"/>
        <v>0</v>
      </c>
      <c r="H15" s="546">
        <f t="shared" si="1"/>
        <v>0</v>
      </c>
      <c r="I15" s="546">
        <f t="shared" si="1"/>
        <v>0</v>
      </c>
      <c r="J15" s="546">
        <f t="shared" si="1"/>
        <v>0</v>
      </c>
      <c r="K15" s="546">
        <f t="shared" si="1"/>
        <v>0</v>
      </c>
      <c r="L15" s="546">
        <f t="shared" si="1"/>
        <v>0</v>
      </c>
      <c r="M15" s="546">
        <f t="shared" si="1"/>
        <v>0</v>
      </c>
      <c r="N15" s="546">
        <f t="shared" si="1"/>
        <v>0</v>
      </c>
      <c r="O15" s="546">
        <f t="shared" si="1"/>
        <v>0</v>
      </c>
      <c r="P15" s="546">
        <f t="shared" si="1"/>
        <v>0</v>
      </c>
      <c r="Q15" s="546">
        <f t="shared" si="1"/>
        <v>0</v>
      </c>
      <c r="R15" s="546">
        <f t="shared" si="1"/>
        <v>0</v>
      </c>
      <c r="S15" s="546">
        <f t="shared" si="1"/>
        <v>0</v>
      </c>
      <c r="T15" s="546">
        <f t="shared" si="1"/>
        <v>0</v>
      </c>
      <c r="U15" s="546">
        <f t="shared" si="1"/>
        <v>0</v>
      </c>
    </row>
    <row r="16" spans="1:22" x14ac:dyDescent="0.25">
      <c r="A16" s="540">
        <v>2.1</v>
      </c>
      <c r="B16" s="554" t="s">
        <v>681</v>
      </c>
      <c r="C16" s="559">
        <f t="shared" ref="C13:C27" si="2">D16+G16+L16</f>
        <v>0</v>
      </c>
      <c r="D16" s="546"/>
      <c r="E16" s="546"/>
      <c r="F16" s="546"/>
      <c r="G16" s="546"/>
      <c r="H16" s="546"/>
      <c r="I16" s="546"/>
      <c r="J16" s="546"/>
      <c r="K16" s="546"/>
      <c r="L16" s="546"/>
      <c r="M16" s="546"/>
      <c r="N16" s="546"/>
      <c r="O16" s="546"/>
      <c r="P16" s="546"/>
      <c r="Q16" s="546"/>
      <c r="R16" s="546"/>
      <c r="S16" s="546"/>
      <c r="T16" s="546"/>
      <c r="U16" s="546"/>
    </row>
    <row r="17" spans="1:21" x14ac:dyDescent="0.25">
      <c r="A17" s="540">
        <v>2.2000000000000002</v>
      </c>
      <c r="B17" s="554" t="s">
        <v>682</v>
      </c>
      <c r="C17" s="559">
        <f t="shared" si="2"/>
        <v>28876423.810000002</v>
      </c>
      <c r="D17" s="546">
        <f>'2. RC'!E11-'22. Quality'!D19-'22. Quality'!D20+'18. Assets by Exposure classes'!F23</f>
        <v>28876423.810000002</v>
      </c>
      <c r="E17" s="546"/>
      <c r="F17" s="546"/>
      <c r="G17" s="546"/>
      <c r="H17" s="546"/>
      <c r="I17" s="546"/>
      <c r="J17" s="546"/>
      <c r="K17" s="546"/>
      <c r="L17" s="546"/>
      <c r="M17" s="546"/>
      <c r="N17" s="546"/>
      <c r="O17" s="546"/>
      <c r="P17" s="546"/>
      <c r="Q17" s="546"/>
      <c r="R17" s="546"/>
      <c r="S17" s="546"/>
      <c r="T17" s="546"/>
      <c r="U17" s="546"/>
    </row>
    <row r="18" spans="1:21" x14ac:dyDescent="0.25">
      <c r="A18" s="540">
        <v>2.2999999999999998</v>
      </c>
      <c r="B18" s="554" t="s">
        <v>683</v>
      </c>
      <c r="C18" s="559">
        <f t="shared" si="2"/>
        <v>0</v>
      </c>
      <c r="D18" s="546"/>
      <c r="E18" s="546"/>
      <c r="F18" s="546"/>
      <c r="G18" s="546"/>
      <c r="H18" s="546"/>
      <c r="I18" s="546"/>
      <c r="J18" s="546"/>
      <c r="K18" s="546"/>
      <c r="L18" s="546"/>
      <c r="M18" s="546"/>
      <c r="N18" s="546"/>
      <c r="O18" s="546"/>
      <c r="P18" s="546"/>
      <c r="Q18" s="546"/>
      <c r="R18" s="546"/>
      <c r="S18" s="546"/>
      <c r="T18" s="546"/>
      <c r="U18" s="546"/>
    </row>
    <row r="19" spans="1:21" x14ac:dyDescent="0.25">
      <c r="A19" s="540">
        <v>2.4</v>
      </c>
      <c r="B19" s="554" t="s">
        <v>684</v>
      </c>
      <c r="C19" s="559">
        <f t="shared" si="2"/>
        <v>3000000</v>
      </c>
      <c r="D19" s="546">
        <v>3000000</v>
      </c>
      <c r="E19" s="546"/>
      <c r="F19" s="546"/>
      <c r="G19" s="546"/>
      <c r="H19" s="546"/>
      <c r="I19" s="546"/>
      <c r="J19" s="546"/>
      <c r="K19" s="546"/>
      <c r="L19" s="546"/>
      <c r="M19" s="546"/>
      <c r="N19" s="546"/>
      <c r="O19" s="546"/>
      <c r="P19" s="546"/>
      <c r="Q19" s="546"/>
      <c r="R19" s="546"/>
      <c r="S19" s="546"/>
      <c r="T19" s="546"/>
      <c r="U19" s="546"/>
    </row>
    <row r="20" spans="1:21" x14ac:dyDescent="0.25">
      <c r="A20" s="540">
        <v>2.5</v>
      </c>
      <c r="B20" s="554" t="s">
        <v>685</v>
      </c>
      <c r="C20" s="559">
        <f t="shared" si="2"/>
        <v>2000000</v>
      </c>
      <c r="D20" s="546">
        <v>2000000</v>
      </c>
      <c r="E20" s="546"/>
      <c r="F20" s="546"/>
      <c r="G20" s="546"/>
      <c r="H20" s="546"/>
      <c r="I20" s="546"/>
      <c r="J20" s="546"/>
      <c r="K20" s="546"/>
      <c r="L20" s="546"/>
      <c r="M20" s="546"/>
      <c r="N20" s="546"/>
      <c r="O20" s="546"/>
      <c r="P20" s="546"/>
      <c r="Q20" s="546"/>
      <c r="R20" s="546"/>
      <c r="S20" s="546"/>
      <c r="T20" s="546"/>
      <c r="U20" s="546"/>
    </row>
    <row r="21" spans="1:21" x14ac:dyDescent="0.25">
      <c r="A21" s="540">
        <v>2.6</v>
      </c>
      <c r="B21" s="554" t="s">
        <v>686</v>
      </c>
      <c r="C21" s="559">
        <f t="shared" si="2"/>
        <v>0</v>
      </c>
      <c r="D21" s="546"/>
      <c r="E21" s="546"/>
      <c r="F21" s="546"/>
      <c r="G21" s="546"/>
      <c r="H21" s="546"/>
      <c r="I21" s="546"/>
      <c r="J21" s="546"/>
      <c r="K21" s="546"/>
      <c r="L21" s="546"/>
      <c r="M21" s="546"/>
      <c r="N21" s="546"/>
      <c r="O21" s="546"/>
      <c r="P21" s="546"/>
      <c r="Q21" s="546"/>
      <c r="R21" s="546"/>
      <c r="S21" s="546"/>
      <c r="T21" s="546"/>
      <c r="U21" s="546"/>
    </row>
    <row r="22" spans="1:21" x14ac:dyDescent="0.25">
      <c r="A22" s="555">
        <v>3</v>
      </c>
      <c r="B22" s="527" t="s">
        <v>688</v>
      </c>
      <c r="C22" s="593">
        <f>SUM(C23:C28)</f>
        <v>1435570.39</v>
      </c>
      <c r="D22" s="546">
        <f t="shared" ref="D22:U22" si="3">SUM(D23:D28)</f>
        <v>1318789</v>
      </c>
      <c r="E22" s="604">
        <f t="shared" si="3"/>
        <v>0</v>
      </c>
      <c r="F22" s="604">
        <f t="shared" si="3"/>
        <v>0</v>
      </c>
      <c r="G22" s="546">
        <f t="shared" si="3"/>
        <v>0</v>
      </c>
      <c r="H22" s="604">
        <f t="shared" si="3"/>
        <v>0</v>
      </c>
      <c r="I22" s="604">
        <f t="shared" si="3"/>
        <v>0</v>
      </c>
      <c r="J22" s="604">
        <f t="shared" si="3"/>
        <v>0</v>
      </c>
      <c r="K22" s="604">
        <f t="shared" si="3"/>
        <v>0</v>
      </c>
      <c r="L22" s="546">
        <f t="shared" si="3"/>
        <v>0</v>
      </c>
      <c r="M22" s="604">
        <f t="shared" si="3"/>
        <v>0</v>
      </c>
      <c r="N22" s="604">
        <f t="shared" si="3"/>
        <v>0</v>
      </c>
      <c r="O22" s="604">
        <f t="shared" si="3"/>
        <v>0</v>
      </c>
      <c r="P22" s="604">
        <f t="shared" si="3"/>
        <v>0</v>
      </c>
      <c r="Q22" s="604">
        <f t="shared" si="3"/>
        <v>0</v>
      </c>
      <c r="R22" s="604">
        <f t="shared" si="3"/>
        <v>0</v>
      </c>
      <c r="S22" s="604">
        <f t="shared" si="3"/>
        <v>0</v>
      </c>
      <c r="T22" s="604">
        <f t="shared" si="3"/>
        <v>0</v>
      </c>
      <c r="U22" s="546">
        <f t="shared" si="3"/>
        <v>0</v>
      </c>
    </row>
    <row r="23" spans="1:21" x14ac:dyDescent="0.25">
      <c r="A23" s="540">
        <v>3.1</v>
      </c>
      <c r="B23" s="554" t="s">
        <v>681</v>
      </c>
      <c r="C23" s="559">
        <f t="shared" si="2"/>
        <v>0</v>
      </c>
      <c r="D23" s="546"/>
      <c r="E23" s="604"/>
      <c r="F23" s="604"/>
      <c r="G23" s="546"/>
      <c r="H23" s="604"/>
      <c r="I23" s="604"/>
      <c r="J23" s="604"/>
      <c r="K23" s="604"/>
      <c r="L23" s="546"/>
      <c r="M23" s="604"/>
      <c r="N23" s="604"/>
      <c r="O23" s="604"/>
      <c r="P23" s="604"/>
      <c r="Q23" s="604"/>
      <c r="R23" s="604"/>
      <c r="S23" s="604"/>
      <c r="T23" s="604"/>
      <c r="U23" s="546"/>
    </row>
    <row r="24" spans="1:21" x14ac:dyDescent="0.25">
      <c r="A24" s="540">
        <v>3.2</v>
      </c>
      <c r="B24" s="554" t="s">
        <v>682</v>
      </c>
      <c r="C24" s="559">
        <f t="shared" si="2"/>
        <v>0</v>
      </c>
      <c r="D24" s="546"/>
      <c r="E24" s="604"/>
      <c r="F24" s="604"/>
      <c r="G24" s="546"/>
      <c r="H24" s="604"/>
      <c r="I24" s="604"/>
      <c r="J24" s="604"/>
      <c r="K24" s="604"/>
      <c r="L24" s="546"/>
      <c r="M24" s="604"/>
      <c r="N24" s="604"/>
      <c r="O24" s="604"/>
      <c r="P24" s="604"/>
      <c r="Q24" s="604"/>
      <c r="R24" s="604"/>
      <c r="S24" s="604"/>
      <c r="T24" s="604"/>
      <c r="U24" s="546"/>
    </row>
    <row r="25" spans="1:21" x14ac:dyDescent="0.25">
      <c r="A25" s="540">
        <v>3.3</v>
      </c>
      <c r="B25" s="554" t="s">
        <v>683</v>
      </c>
      <c r="C25" s="559">
        <f t="shared" si="2"/>
        <v>0</v>
      </c>
      <c r="D25" s="546"/>
      <c r="E25" s="604"/>
      <c r="F25" s="604"/>
      <c r="G25" s="546"/>
      <c r="H25" s="604"/>
      <c r="I25" s="604"/>
      <c r="J25" s="604"/>
      <c r="K25" s="604"/>
      <c r="L25" s="546"/>
      <c r="M25" s="604"/>
      <c r="N25" s="604"/>
      <c r="O25" s="604"/>
      <c r="P25" s="604"/>
      <c r="Q25" s="604"/>
      <c r="R25" s="604"/>
      <c r="S25" s="604"/>
      <c r="T25" s="604"/>
      <c r="U25" s="546"/>
    </row>
    <row r="26" spans="1:21" x14ac:dyDescent="0.25">
      <c r="A26" s="540">
        <v>3.4</v>
      </c>
      <c r="B26" s="554" t="s">
        <v>684</v>
      </c>
      <c r="C26" s="559">
        <f t="shared" si="2"/>
        <v>0</v>
      </c>
      <c r="D26" s="546"/>
      <c r="E26" s="604"/>
      <c r="F26" s="604"/>
      <c r="G26" s="546"/>
      <c r="H26" s="604"/>
      <c r="I26" s="604"/>
      <c r="J26" s="604"/>
      <c r="K26" s="604"/>
      <c r="L26" s="546"/>
      <c r="M26" s="604"/>
      <c r="N26" s="604"/>
      <c r="O26" s="604"/>
      <c r="P26" s="604"/>
      <c r="Q26" s="604"/>
      <c r="R26" s="604"/>
      <c r="S26" s="604"/>
      <c r="T26" s="604"/>
      <c r="U26" s="546"/>
    </row>
    <row r="27" spans="1:21" x14ac:dyDescent="0.25">
      <c r="A27" s="540">
        <v>3.5</v>
      </c>
      <c r="B27" s="554" t="s">
        <v>685</v>
      </c>
      <c r="C27" s="559">
        <f t="shared" si="2"/>
        <v>1318789</v>
      </c>
      <c r="D27" s="546">
        <f>'4. Off-Balance'!E8</f>
        <v>1318789</v>
      </c>
      <c r="E27" s="604"/>
      <c r="F27" s="604"/>
      <c r="G27" s="546"/>
      <c r="H27" s="604"/>
      <c r="I27" s="604"/>
      <c r="J27" s="604"/>
      <c r="K27" s="604"/>
      <c r="L27" s="546"/>
      <c r="M27" s="604"/>
      <c r="N27" s="604"/>
      <c r="O27" s="604"/>
      <c r="P27" s="604"/>
      <c r="Q27" s="604"/>
      <c r="R27" s="604"/>
      <c r="S27" s="604"/>
      <c r="T27" s="604"/>
      <c r="U27" s="546"/>
    </row>
    <row r="28" spans="1:21" x14ac:dyDescent="0.25">
      <c r="A28" s="540">
        <v>3.6</v>
      </c>
      <c r="B28" s="554" t="s">
        <v>686</v>
      </c>
      <c r="C28" s="559">
        <v>116781.39</v>
      </c>
      <c r="D28" s="546"/>
      <c r="E28" s="604"/>
      <c r="F28" s="604"/>
      <c r="G28" s="546"/>
      <c r="H28" s="604"/>
      <c r="I28" s="604"/>
      <c r="J28" s="604"/>
      <c r="K28" s="604"/>
      <c r="L28" s="546"/>
      <c r="M28" s="604"/>
      <c r="N28" s="604"/>
      <c r="O28" s="604"/>
      <c r="P28" s="604"/>
      <c r="Q28" s="604"/>
      <c r="R28" s="604"/>
      <c r="S28" s="604"/>
      <c r="T28" s="604"/>
      <c r="U28" s="546"/>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A343-9F4D-45B8-BEF0-0942A05367B7}">
  <dimension ref="A1:T22"/>
  <sheetViews>
    <sheetView showGridLines="0" zoomScale="115" zoomScaleNormal="115" workbookViewId="0">
      <selection activeCell="T8" sqref="C8:T22"/>
    </sheetView>
  </sheetViews>
  <sheetFormatPr defaultColWidth="9.28515625" defaultRowHeight="12.75" x14ac:dyDescent="0.25"/>
  <cols>
    <col min="1" max="1" width="11.7109375" style="514" bestFit="1" customWidth="1"/>
    <col min="2" max="2" width="90.28515625" style="514" bestFit="1" customWidth="1"/>
    <col min="3" max="3" width="20.28515625" style="514" customWidth="1"/>
    <col min="4" max="4" width="22.28515625" style="514" customWidth="1"/>
    <col min="5" max="5" width="17.140625" style="514" customWidth="1"/>
    <col min="6" max="7" width="22.28515625" style="514" customWidth="1"/>
    <col min="8" max="8" width="17.140625" style="514" customWidth="1"/>
    <col min="9" max="14" width="22.28515625" style="514" customWidth="1"/>
    <col min="15" max="15" width="23.28515625" style="514" bestFit="1" customWidth="1"/>
    <col min="16" max="16" width="21.7109375" style="514" bestFit="1" customWidth="1"/>
    <col min="17" max="19" width="19" style="514" bestFit="1" customWidth="1"/>
    <col min="20" max="20" width="15.28515625" style="514" customWidth="1"/>
    <col min="21" max="16384" width="9.28515625" style="514"/>
  </cols>
  <sheetData>
    <row r="1" spans="1:20" x14ac:dyDescent="0.25">
      <c r="A1" s="513" t="s">
        <v>30</v>
      </c>
      <c r="B1" s="514" t="s">
        <v>2</v>
      </c>
    </row>
    <row r="2" spans="1:20" x14ac:dyDescent="0.25">
      <c r="A2" s="513" t="s">
        <v>31</v>
      </c>
      <c r="B2" s="539">
        <v>44742</v>
      </c>
    </row>
    <row r="3" spans="1:20" x14ac:dyDescent="0.25">
      <c r="A3" s="516" t="s">
        <v>689</v>
      </c>
      <c r="B3" s="517"/>
      <c r="C3" s="517"/>
    </row>
    <row r="4" spans="1:20" x14ac:dyDescent="0.25">
      <c r="A4" s="516"/>
      <c r="B4" s="517"/>
      <c r="C4" s="517"/>
    </row>
    <row r="5" spans="1:20" ht="13.5" customHeight="1" x14ac:dyDescent="0.25">
      <c r="A5" s="713" t="s">
        <v>690</v>
      </c>
      <c r="B5" s="714"/>
      <c r="C5" s="719" t="s">
        <v>691</v>
      </c>
      <c r="D5" s="720"/>
      <c r="E5" s="720"/>
      <c r="F5" s="720"/>
      <c r="G5" s="720"/>
      <c r="H5" s="720"/>
      <c r="I5" s="720"/>
      <c r="J5" s="720"/>
      <c r="K5" s="720"/>
      <c r="L5" s="720"/>
      <c r="M5" s="720"/>
      <c r="N5" s="720"/>
      <c r="O5" s="720"/>
      <c r="P5" s="720"/>
      <c r="Q5" s="720"/>
      <c r="R5" s="720"/>
      <c r="S5" s="720"/>
      <c r="T5" s="721"/>
    </row>
    <row r="6" spans="1:20" x14ac:dyDescent="0.25">
      <c r="A6" s="715"/>
      <c r="B6" s="716"/>
      <c r="C6" s="700" t="s">
        <v>84</v>
      </c>
      <c r="D6" s="719" t="s">
        <v>692</v>
      </c>
      <c r="E6" s="720"/>
      <c r="F6" s="721"/>
      <c r="G6" s="719" t="s">
        <v>693</v>
      </c>
      <c r="H6" s="720"/>
      <c r="I6" s="720"/>
      <c r="J6" s="720"/>
      <c r="K6" s="721"/>
      <c r="L6" s="722" t="s">
        <v>694</v>
      </c>
      <c r="M6" s="723"/>
      <c r="N6" s="723"/>
      <c r="O6" s="723"/>
      <c r="P6" s="723"/>
      <c r="Q6" s="723"/>
      <c r="R6" s="723"/>
      <c r="S6" s="723"/>
      <c r="T6" s="724"/>
    </row>
    <row r="7" spans="1:20" ht="25.5" x14ac:dyDescent="0.25">
      <c r="A7" s="717"/>
      <c r="B7" s="718"/>
      <c r="C7" s="700"/>
      <c r="D7" s="605"/>
      <c r="E7" s="530" t="s">
        <v>667</v>
      </c>
      <c r="F7" s="530" t="s">
        <v>668</v>
      </c>
      <c r="G7" s="605"/>
      <c r="H7" s="530" t="s">
        <v>667</v>
      </c>
      <c r="I7" s="530" t="s">
        <v>669</v>
      </c>
      <c r="J7" s="530" t="s">
        <v>670</v>
      </c>
      <c r="K7" s="530" t="s">
        <v>671</v>
      </c>
      <c r="L7" s="557"/>
      <c r="M7" s="530" t="s">
        <v>672</v>
      </c>
      <c r="N7" s="530" t="s">
        <v>670</v>
      </c>
      <c r="O7" s="530" t="s">
        <v>673</v>
      </c>
      <c r="P7" s="530" t="s">
        <v>674</v>
      </c>
      <c r="Q7" s="530" t="s">
        <v>675</v>
      </c>
      <c r="R7" s="530" t="s">
        <v>676</v>
      </c>
      <c r="S7" s="530" t="s">
        <v>677</v>
      </c>
      <c r="T7" s="553" t="s">
        <v>678</v>
      </c>
    </row>
    <row r="8" spans="1:20" x14ac:dyDescent="0.25">
      <c r="A8" s="557">
        <v>1</v>
      </c>
      <c r="B8" s="558" t="s">
        <v>680</v>
      </c>
      <c r="C8" s="546">
        <f>'22. Quality'!C8</f>
        <v>16189240.490000002</v>
      </c>
      <c r="D8" s="546">
        <f>'22. Quality'!D8</f>
        <v>13784985.060000002</v>
      </c>
      <c r="E8" s="546">
        <f>'22. Quality'!E8</f>
        <v>73305.760000000009</v>
      </c>
      <c r="F8" s="546">
        <f>'22. Quality'!F8</f>
        <v>124147.45</v>
      </c>
      <c r="G8" s="546">
        <f>'22. Quality'!G8</f>
        <v>41536.439999999995</v>
      </c>
      <c r="H8" s="546">
        <f>'22. Quality'!H8</f>
        <v>2942.91</v>
      </c>
      <c r="I8" s="546">
        <f>'22. Quality'!I8</f>
        <v>1644.71</v>
      </c>
      <c r="J8" s="546">
        <f>'22. Quality'!J8</f>
        <v>0</v>
      </c>
      <c r="K8" s="546">
        <f>'22. Quality'!K8</f>
        <v>0</v>
      </c>
      <c r="L8" s="546">
        <f>'22. Quality'!L8</f>
        <v>2362718.9899999998</v>
      </c>
      <c r="M8" s="546">
        <f>'22. Quality'!M8</f>
        <v>297.35000000000002</v>
      </c>
      <c r="N8" s="546">
        <f>'22. Quality'!N8</f>
        <v>3984.88</v>
      </c>
      <c r="O8" s="546">
        <f>'22. Quality'!O8</f>
        <v>54969.66</v>
      </c>
      <c r="P8" s="546">
        <f>'22. Quality'!P8</f>
        <v>40450.799999999996</v>
      </c>
      <c r="Q8" s="546">
        <f>'22. Quality'!Q8</f>
        <v>0</v>
      </c>
      <c r="R8" s="546">
        <f>'22. Quality'!R8</f>
        <v>962303.57</v>
      </c>
      <c r="S8" s="546">
        <f>'22. Quality'!S8</f>
        <v>0</v>
      </c>
      <c r="T8" s="546">
        <f>'22. Quality'!T8</f>
        <v>6800.67</v>
      </c>
    </row>
    <row r="9" spans="1:20" x14ac:dyDescent="0.25">
      <c r="A9" s="554">
        <v>1.1000000000000001</v>
      </c>
      <c r="B9" s="554" t="s">
        <v>695</v>
      </c>
      <c r="C9" s="559">
        <f t="shared" ref="C9:C15" si="0">D9+G9+L9</f>
        <v>12823335.91</v>
      </c>
      <c r="D9" s="546">
        <v>10670922.470000001</v>
      </c>
      <c r="E9" s="546">
        <v>0</v>
      </c>
      <c r="F9" s="546">
        <v>124147.45</v>
      </c>
      <c r="G9" s="546">
        <v>2640.51</v>
      </c>
      <c r="H9" s="546">
        <v>0</v>
      </c>
      <c r="I9" s="546">
        <v>0</v>
      </c>
      <c r="J9" s="546">
        <v>0</v>
      </c>
      <c r="K9" s="546">
        <v>0</v>
      </c>
      <c r="L9" s="546">
        <v>2149772.9299999997</v>
      </c>
      <c r="M9" s="546">
        <v>0</v>
      </c>
      <c r="N9" s="546">
        <v>0</v>
      </c>
      <c r="O9" s="546">
        <v>0</v>
      </c>
      <c r="P9" s="546">
        <v>0</v>
      </c>
      <c r="Q9" s="546">
        <v>0</v>
      </c>
      <c r="R9" s="546">
        <v>962303.57</v>
      </c>
      <c r="S9" s="546">
        <v>0</v>
      </c>
      <c r="T9" s="546">
        <v>6800.67</v>
      </c>
    </row>
    <row r="10" spans="1:20" x14ac:dyDescent="0.25">
      <c r="A10" s="560" t="s">
        <v>238</v>
      </c>
      <c r="B10" s="560" t="s">
        <v>696</v>
      </c>
      <c r="C10" s="606">
        <f t="shared" si="0"/>
        <v>12748462.370000001</v>
      </c>
      <c r="D10" s="546">
        <v>10598689.440000001</v>
      </c>
      <c r="E10" s="546">
        <v>0</v>
      </c>
      <c r="F10" s="546">
        <v>124147.45</v>
      </c>
      <c r="G10" s="546">
        <v>0</v>
      </c>
      <c r="H10" s="546">
        <v>0</v>
      </c>
      <c r="I10" s="546">
        <v>0</v>
      </c>
      <c r="J10" s="546">
        <v>0</v>
      </c>
      <c r="K10" s="546">
        <v>0</v>
      </c>
      <c r="L10" s="546">
        <v>2149772.9299999997</v>
      </c>
      <c r="M10" s="546">
        <v>0</v>
      </c>
      <c r="N10" s="546">
        <v>0</v>
      </c>
      <c r="O10" s="546">
        <v>0</v>
      </c>
      <c r="P10" s="546">
        <v>0</v>
      </c>
      <c r="Q10" s="546">
        <v>0</v>
      </c>
      <c r="R10" s="546">
        <v>962303.57</v>
      </c>
      <c r="S10" s="546">
        <v>0</v>
      </c>
      <c r="T10" s="546">
        <v>6800.67</v>
      </c>
    </row>
    <row r="11" spans="1:20" x14ac:dyDescent="0.25">
      <c r="A11" s="561" t="s">
        <v>697</v>
      </c>
      <c r="B11" s="561" t="s">
        <v>698</v>
      </c>
      <c r="C11" s="607">
        <v>6443235.8699999992</v>
      </c>
      <c r="D11" s="546">
        <v>4293462.9399999995</v>
      </c>
      <c r="E11" s="546"/>
      <c r="F11" s="546">
        <v>124147.45</v>
      </c>
      <c r="G11" s="546">
        <v>0</v>
      </c>
      <c r="H11" s="546"/>
      <c r="I11" s="546"/>
      <c r="J11" s="546"/>
      <c r="K11" s="546"/>
      <c r="L11" s="546">
        <v>2149772.9300000002</v>
      </c>
      <c r="M11" s="546"/>
      <c r="N11" s="546">
        <v>0</v>
      </c>
      <c r="O11" s="546"/>
      <c r="P11" s="546"/>
      <c r="Q11" s="546">
        <v>0</v>
      </c>
      <c r="R11" s="546">
        <v>962303.57</v>
      </c>
      <c r="S11" s="546"/>
      <c r="T11" s="546">
        <v>6800.67</v>
      </c>
    </row>
    <row r="12" spans="1:20" x14ac:dyDescent="0.25">
      <c r="A12" s="561" t="s">
        <v>699</v>
      </c>
      <c r="B12" s="561" t="s">
        <v>700</v>
      </c>
      <c r="C12" s="607">
        <v>160000</v>
      </c>
      <c r="D12" s="546">
        <v>160000</v>
      </c>
      <c r="E12" s="546"/>
      <c r="F12" s="546"/>
      <c r="G12" s="546">
        <v>0</v>
      </c>
      <c r="H12" s="546"/>
      <c r="I12" s="546"/>
      <c r="J12" s="546"/>
      <c r="K12" s="546"/>
      <c r="L12" s="546">
        <v>0</v>
      </c>
      <c r="M12" s="546"/>
      <c r="N12" s="546">
        <v>0</v>
      </c>
      <c r="O12" s="546"/>
      <c r="P12" s="546"/>
      <c r="Q12" s="546">
        <v>0</v>
      </c>
      <c r="R12" s="546">
        <v>0</v>
      </c>
      <c r="S12" s="546"/>
      <c r="T12" s="546">
        <v>0</v>
      </c>
    </row>
    <row r="13" spans="1:20" x14ac:dyDescent="0.25">
      <c r="A13" s="561" t="s">
        <v>701</v>
      </c>
      <c r="B13" s="561" t="s">
        <v>702</v>
      </c>
      <c r="C13" s="607">
        <v>2145226.5000000019</v>
      </c>
      <c r="D13" s="546">
        <v>2145226.5000000009</v>
      </c>
      <c r="E13" s="546"/>
      <c r="F13" s="546"/>
      <c r="G13" s="546">
        <v>0</v>
      </c>
      <c r="H13" s="546"/>
      <c r="I13" s="546"/>
      <c r="J13" s="546"/>
      <c r="K13" s="546"/>
      <c r="L13" s="546">
        <v>0</v>
      </c>
      <c r="M13" s="546"/>
      <c r="N13" s="546">
        <v>0</v>
      </c>
      <c r="O13" s="546"/>
      <c r="P13" s="546"/>
      <c r="Q13" s="546">
        <v>0</v>
      </c>
      <c r="R13" s="546">
        <v>0</v>
      </c>
      <c r="S13" s="546"/>
      <c r="T13" s="546">
        <v>0</v>
      </c>
    </row>
    <row r="14" spans="1:20" x14ac:dyDescent="0.25">
      <c r="A14" s="561" t="s">
        <v>703</v>
      </c>
      <c r="B14" s="561" t="s">
        <v>704</v>
      </c>
      <c r="C14" s="607">
        <v>4000000</v>
      </c>
      <c r="D14" s="546">
        <v>4000000</v>
      </c>
      <c r="E14" s="546"/>
      <c r="F14" s="546"/>
      <c r="G14" s="546"/>
      <c r="H14" s="546"/>
      <c r="I14" s="546"/>
      <c r="J14" s="546"/>
      <c r="K14" s="546"/>
      <c r="L14" s="546"/>
      <c r="M14" s="546"/>
      <c r="N14" s="546"/>
      <c r="O14" s="546"/>
      <c r="P14" s="546"/>
      <c r="Q14" s="546"/>
      <c r="R14" s="546"/>
      <c r="S14" s="546"/>
      <c r="T14" s="546"/>
    </row>
    <row r="15" spans="1:20" x14ac:dyDescent="0.25">
      <c r="A15" s="562">
        <v>1.2</v>
      </c>
      <c r="B15" s="562" t="s">
        <v>705</v>
      </c>
      <c r="C15" s="566">
        <f t="shared" si="0"/>
        <v>858759.15999999992</v>
      </c>
      <c r="D15" s="546">
        <v>213418.45000000004</v>
      </c>
      <c r="E15" s="546">
        <v>0</v>
      </c>
      <c r="F15" s="546">
        <v>2482.9499999999998</v>
      </c>
      <c r="G15" s="546">
        <v>264.05</v>
      </c>
      <c r="H15" s="546">
        <v>0</v>
      </c>
      <c r="I15" s="546">
        <v>0</v>
      </c>
      <c r="J15" s="546">
        <v>0</v>
      </c>
      <c r="K15" s="546">
        <v>0</v>
      </c>
      <c r="L15" s="546">
        <v>645076.65999999992</v>
      </c>
      <c r="M15" s="546">
        <v>0</v>
      </c>
      <c r="N15" s="546">
        <v>0</v>
      </c>
      <c r="O15" s="546">
        <v>0</v>
      </c>
      <c r="P15" s="546">
        <v>0</v>
      </c>
      <c r="Q15" s="546">
        <v>0</v>
      </c>
      <c r="R15" s="546">
        <v>288691.07</v>
      </c>
      <c r="S15" s="546">
        <v>0</v>
      </c>
      <c r="T15" s="546">
        <v>2184.9899999999998</v>
      </c>
    </row>
    <row r="16" spans="1:20" x14ac:dyDescent="0.25">
      <c r="A16" s="554">
        <v>1.3</v>
      </c>
      <c r="B16" s="562" t="s">
        <v>706</v>
      </c>
      <c r="C16" s="608">
        <f>C17+C19</f>
        <v>20346240.277582306</v>
      </c>
      <c r="D16" s="608">
        <f t="shared" ref="D16:T16" si="1">D17+D19</f>
        <v>13663071.757582307</v>
      </c>
      <c r="E16" s="608">
        <f t="shared" si="1"/>
        <v>0</v>
      </c>
      <c r="F16" s="608">
        <f t="shared" si="1"/>
        <v>6326424</v>
      </c>
      <c r="G16" s="608">
        <f t="shared" si="1"/>
        <v>2640.51</v>
      </c>
      <c r="H16" s="608">
        <f t="shared" si="1"/>
        <v>0</v>
      </c>
      <c r="I16" s="608">
        <f t="shared" si="1"/>
        <v>0</v>
      </c>
      <c r="J16" s="608">
        <f t="shared" si="1"/>
        <v>0</v>
      </c>
      <c r="K16" s="608">
        <f t="shared" si="1"/>
        <v>0</v>
      </c>
      <c r="L16" s="608">
        <f t="shared" si="1"/>
        <v>6680528.0100000007</v>
      </c>
      <c r="M16" s="608">
        <f t="shared" si="1"/>
        <v>0</v>
      </c>
      <c r="N16" s="608">
        <f t="shared" si="1"/>
        <v>0</v>
      </c>
      <c r="O16" s="608">
        <f t="shared" si="1"/>
        <v>0</v>
      </c>
      <c r="P16" s="608">
        <f t="shared" si="1"/>
        <v>0</v>
      </c>
      <c r="Q16" s="608">
        <f t="shared" si="1"/>
        <v>0</v>
      </c>
      <c r="R16" s="608">
        <f t="shared" si="1"/>
        <v>0</v>
      </c>
      <c r="S16" s="608">
        <f t="shared" si="1"/>
        <v>0</v>
      </c>
      <c r="T16" s="608">
        <f t="shared" si="1"/>
        <v>164018.4</v>
      </c>
    </row>
    <row r="17" spans="1:20" ht="25.5" x14ac:dyDescent="0.25">
      <c r="A17" s="563" t="s">
        <v>707</v>
      </c>
      <c r="B17" s="564" t="s">
        <v>708</v>
      </c>
      <c r="C17" s="609">
        <f>D17+G17+L17</f>
        <v>9160453.9100000001</v>
      </c>
      <c r="D17" s="610">
        <f>D9-3662882</f>
        <v>7008040.4700000007</v>
      </c>
      <c r="E17" s="610">
        <f t="shared" ref="E17:T18" si="2">E9</f>
        <v>0</v>
      </c>
      <c r="F17" s="610">
        <f t="shared" si="2"/>
        <v>124147.45</v>
      </c>
      <c r="G17" s="610">
        <f t="shared" si="2"/>
        <v>2640.51</v>
      </c>
      <c r="H17" s="610">
        <f t="shared" si="2"/>
        <v>0</v>
      </c>
      <c r="I17" s="610">
        <f t="shared" si="2"/>
        <v>0</v>
      </c>
      <c r="J17" s="610">
        <f t="shared" si="2"/>
        <v>0</v>
      </c>
      <c r="K17" s="610">
        <f t="shared" si="2"/>
        <v>0</v>
      </c>
      <c r="L17" s="610">
        <f t="shared" si="2"/>
        <v>2149772.9299999997</v>
      </c>
      <c r="M17" s="610">
        <f t="shared" si="2"/>
        <v>0</v>
      </c>
      <c r="N17" s="610">
        <f t="shared" si="2"/>
        <v>0</v>
      </c>
      <c r="O17" s="610">
        <f t="shared" si="2"/>
        <v>0</v>
      </c>
      <c r="P17" s="610">
        <f t="shared" si="2"/>
        <v>0</v>
      </c>
      <c r="Q17" s="610">
        <f t="shared" si="2"/>
        <v>0</v>
      </c>
      <c r="R17" s="610"/>
      <c r="S17" s="610">
        <f t="shared" si="2"/>
        <v>0</v>
      </c>
      <c r="T17" s="610">
        <f t="shared" si="2"/>
        <v>6800.67</v>
      </c>
    </row>
    <row r="18" spans="1:20" ht="25.5" x14ac:dyDescent="0.25">
      <c r="A18" s="565" t="s">
        <v>709</v>
      </c>
      <c r="B18" s="565" t="s">
        <v>710</v>
      </c>
      <c r="C18" s="611">
        <f>D18+G18+L18</f>
        <v>9085580.370000001</v>
      </c>
      <c r="D18" s="610">
        <f>D10-3662882</f>
        <v>6935807.4400000013</v>
      </c>
      <c r="E18" s="610">
        <f t="shared" si="2"/>
        <v>0</v>
      </c>
      <c r="F18" s="610">
        <f t="shared" si="2"/>
        <v>124147.45</v>
      </c>
      <c r="G18" s="610">
        <f t="shared" si="2"/>
        <v>0</v>
      </c>
      <c r="H18" s="610">
        <f t="shared" si="2"/>
        <v>0</v>
      </c>
      <c r="I18" s="610">
        <f t="shared" si="2"/>
        <v>0</v>
      </c>
      <c r="J18" s="610">
        <f t="shared" si="2"/>
        <v>0</v>
      </c>
      <c r="K18" s="610">
        <f t="shared" si="2"/>
        <v>0</v>
      </c>
      <c r="L18" s="610">
        <f t="shared" si="2"/>
        <v>2149772.9299999997</v>
      </c>
      <c r="M18" s="610">
        <f t="shared" si="2"/>
        <v>0</v>
      </c>
      <c r="N18" s="610">
        <f t="shared" si="2"/>
        <v>0</v>
      </c>
      <c r="O18" s="610">
        <f t="shared" si="2"/>
        <v>0</v>
      </c>
      <c r="P18" s="610">
        <f t="shared" si="2"/>
        <v>0</v>
      </c>
      <c r="Q18" s="610">
        <f t="shared" si="2"/>
        <v>0</v>
      </c>
      <c r="R18" s="610"/>
      <c r="S18" s="610">
        <f t="shared" si="2"/>
        <v>0</v>
      </c>
      <c r="T18" s="610">
        <f t="shared" si="2"/>
        <v>6800.67</v>
      </c>
    </row>
    <row r="19" spans="1:20" x14ac:dyDescent="0.25">
      <c r="A19" s="563" t="s">
        <v>711</v>
      </c>
      <c r="B19" s="563" t="s">
        <v>712</v>
      </c>
      <c r="C19" s="612">
        <f>D19+G19+L19</f>
        <v>11185786.367582306</v>
      </c>
      <c r="D19" s="610">
        <v>6655031.2875823062</v>
      </c>
      <c r="E19" s="610"/>
      <c r="F19" s="610">
        <v>6202276.5499999998</v>
      </c>
      <c r="G19" s="610"/>
      <c r="H19" s="610"/>
      <c r="I19" s="610"/>
      <c r="J19" s="610"/>
      <c r="K19" s="610"/>
      <c r="L19" s="610">
        <v>4530755.080000001</v>
      </c>
      <c r="M19" s="610"/>
      <c r="N19" s="610">
        <v>0</v>
      </c>
      <c r="O19" s="610"/>
      <c r="P19" s="610"/>
      <c r="Q19" s="610">
        <v>0</v>
      </c>
      <c r="R19" s="610"/>
      <c r="S19" s="610"/>
      <c r="T19" s="610">
        <v>157217.72999999998</v>
      </c>
    </row>
    <row r="20" spans="1:20" x14ac:dyDescent="0.25">
      <c r="A20" s="565" t="s">
        <v>713</v>
      </c>
      <c r="B20" s="565" t="s">
        <v>714</v>
      </c>
      <c r="C20" s="611">
        <f>D20+G20+L20</f>
        <v>4882791.2975823088</v>
      </c>
      <c r="D20" s="610">
        <v>352036.21758230776</v>
      </c>
      <c r="E20" s="610"/>
      <c r="F20" s="610">
        <v>344476.55</v>
      </c>
      <c r="G20" s="610"/>
      <c r="H20" s="610"/>
      <c r="I20" s="610"/>
      <c r="J20" s="610"/>
      <c r="K20" s="610"/>
      <c r="L20" s="610">
        <v>4530755.080000001</v>
      </c>
      <c r="M20" s="610"/>
      <c r="N20" s="610">
        <v>0</v>
      </c>
      <c r="O20" s="610"/>
      <c r="P20" s="610"/>
      <c r="Q20" s="610">
        <v>0</v>
      </c>
      <c r="R20" s="610"/>
      <c r="S20" s="610"/>
      <c r="T20" s="610">
        <f>T19</f>
        <v>157217.72999999998</v>
      </c>
    </row>
    <row r="21" spans="1:20" x14ac:dyDescent="0.25">
      <c r="A21" s="567">
        <v>1.4</v>
      </c>
      <c r="B21" s="568" t="s">
        <v>715</v>
      </c>
      <c r="C21" s="613"/>
      <c r="D21" s="610"/>
      <c r="E21" s="610"/>
      <c r="F21" s="614"/>
      <c r="G21" s="546"/>
      <c r="H21" s="546"/>
      <c r="I21" s="546"/>
      <c r="J21" s="546"/>
      <c r="K21" s="546"/>
      <c r="L21" s="546"/>
      <c r="M21" s="546"/>
      <c r="N21" s="546"/>
      <c r="O21" s="546"/>
      <c r="P21" s="546"/>
      <c r="Q21" s="546"/>
      <c r="R21" s="546"/>
      <c r="S21" s="546"/>
      <c r="T21" s="546"/>
    </row>
    <row r="22" spans="1:20" x14ac:dyDescent="0.25">
      <c r="A22" s="567">
        <v>1.5</v>
      </c>
      <c r="B22" s="568" t="s">
        <v>716</v>
      </c>
      <c r="C22" s="613"/>
      <c r="D22" s="610"/>
      <c r="E22" s="610"/>
      <c r="F22" s="610"/>
      <c r="G22" s="610"/>
      <c r="H22" s="610"/>
      <c r="I22" s="610"/>
      <c r="J22" s="610"/>
      <c r="K22" s="610"/>
      <c r="L22" s="610"/>
      <c r="M22" s="610"/>
      <c r="N22" s="610"/>
      <c r="O22" s="610"/>
      <c r="P22" s="610"/>
      <c r="Q22" s="610"/>
      <c r="R22" s="610"/>
      <c r="S22" s="610"/>
      <c r="T22" s="610"/>
    </row>
  </sheetData>
  <mergeCells count="6">
    <mergeCell ref="A5:B7"/>
    <mergeCell ref="C5:T5"/>
    <mergeCell ref="C6:C7"/>
    <mergeCell ref="D6:F6"/>
    <mergeCell ref="G6:K6"/>
    <mergeCell ref="L6:T6"/>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7B299-C85C-4EE8-A197-CF9AD861C5EE}">
  <dimension ref="A1:O42"/>
  <sheetViews>
    <sheetView showGridLines="0" zoomScale="90" zoomScaleNormal="90" workbookViewId="0">
      <selection activeCell="C7" sqref="C7:O33"/>
    </sheetView>
  </sheetViews>
  <sheetFormatPr defaultColWidth="9.28515625" defaultRowHeight="12.75" x14ac:dyDescent="0.25"/>
  <cols>
    <col min="1" max="1" width="11.7109375" style="514" bestFit="1" customWidth="1"/>
    <col min="2" max="2" width="93.42578125" style="514" customWidth="1"/>
    <col min="3" max="3" width="15.85546875" style="514" customWidth="1"/>
    <col min="4" max="4" width="14.85546875" style="514" bestFit="1" customWidth="1"/>
    <col min="5" max="5" width="13.85546875" style="514" bestFit="1" customWidth="1"/>
    <col min="6" max="6" width="17.85546875" style="549" bestFit="1" customWidth="1"/>
    <col min="7" max="7" width="10" style="549" bestFit="1" customWidth="1"/>
    <col min="8" max="8" width="10" style="514" bestFit="1" customWidth="1"/>
    <col min="9" max="9" width="12.140625" style="514" customWidth="1"/>
    <col min="10" max="10" width="14.85546875" style="549" bestFit="1" customWidth="1"/>
    <col min="11" max="11" width="13.85546875" style="549" bestFit="1" customWidth="1"/>
    <col min="12" max="12" width="17.85546875" style="549" bestFit="1" customWidth="1"/>
    <col min="13" max="14" width="10" style="549" bestFit="1" customWidth="1"/>
    <col min="15" max="15" width="18.85546875" style="514" bestFit="1" customWidth="1"/>
    <col min="16" max="16384" width="9.28515625" style="514"/>
  </cols>
  <sheetData>
    <row r="1" spans="1:15" x14ac:dyDescent="0.25">
      <c r="A1" s="513" t="s">
        <v>30</v>
      </c>
      <c r="B1" s="514" t="s">
        <v>2</v>
      </c>
      <c r="F1" s="514"/>
      <c r="G1" s="514"/>
      <c r="J1" s="514"/>
      <c r="K1" s="514"/>
      <c r="L1" s="514"/>
      <c r="M1" s="514"/>
      <c r="N1" s="514"/>
    </row>
    <row r="2" spans="1:15" x14ac:dyDescent="0.25">
      <c r="A2" s="513" t="s">
        <v>31</v>
      </c>
      <c r="B2" s="539">
        <v>44742</v>
      </c>
      <c r="F2" s="514"/>
      <c r="G2" s="514"/>
      <c r="J2" s="514"/>
      <c r="K2" s="514"/>
      <c r="L2" s="514"/>
      <c r="M2" s="514"/>
      <c r="N2" s="514"/>
    </row>
    <row r="3" spans="1:15" x14ac:dyDescent="0.25">
      <c r="A3" s="516" t="s">
        <v>717</v>
      </c>
      <c r="B3" s="517"/>
      <c r="F3" s="514"/>
      <c r="G3" s="514"/>
      <c r="J3" s="514"/>
      <c r="K3" s="514"/>
      <c r="L3" s="514"/>
      <c r="M3" s="514"/>
      <c r="N3" s="514"/>
    </row>
    <row r="4" spans="1:15" x14ac:dyDescent="0.25">
      <c r="F4" s="514"/>
      <c r="G4" s="514"/>
      <c r="J4" s="514"/>
      <c r="K4" s="514"/>
      <c r="L4" s="514"/>
      <c r="M4" s="514"/>
      <c r="N4" s="514"/>
    </row>
    <row r="5" spans="1:15" ht="37.5" customHeight="1" x14ac:dyDescent="0.25">
      <c r="A5" s="680" t="s">
        <v>718</v>
      </c>
      <c r="B5" s="681"/>
      <c r="C5" s="725" t="s">
        <v>719</v>
      </c>
      <c r="D5" s="726"/>
      <c r="E5" s="726"/>
      <c r="F5" s="726"/>
      <c r="G5" s="726"/>
      <c r="H5" s="727"/>
      <c r="I5" s="725" t="s">
        <v>720</v>
      </c>
      <c r="J5" s="728"/>
      <c r="K5" s="728"/>
      <c r="L5" s="728"/>
      <c r="M5" s="728"/>
      <c r="N5" s="729"/>
      <c r="O5" s="730" t="s">
        <v>584</v>
      </c>
    </row>
    <row r="6" spans="1:15" ht="39.4" customHeight="1" x14ac:dyDescent="0.25">
      <c r="A6" s="684"/>
      <c r="B6" s="685"/>
      <c r="C6" s="569"/>
      <c r="D6" s="556" t="s">
        <v>656</v>
      </c>
      <c r="E6" s="556" t="s">
        <v>657</v>
      </c>
      <c r="F6" s="556" t="s">
        <v>658</v>
      </c>
      <c r="G6" s="556" t="s">
        <v>659</v>
      </c>
      <c r="H6" s="556" t="s">
        <v>661</v>
      </c>
      <c r="I6" s="552"/>
      <c r="J6" s="556" t="s">
        <v>656</v>
      </c>
      <c r="K6" s="556" t="s">
        <v>657</v>
      </c>
      <c r="L6" s="556" t="s">
        <v>658</v>
      </c>
      <c r="M6" s="556" t="s">
        <v>659</v>
      </c>
      <c r="N6" s="556" t="s">
        <v>661</v>
      </c>
      <c r="O6" s="731"/>
    </row>
    <row r="7" spans="1:15" x14ac:dyDescent="0.25">
      <c r="A7" s="540">
        <v>1</v>
      </c>
      <c r="B7" s="541" t="s">
        <v>595</v>
      </c>
      <c r="C7" s="620">
        <f>SUM(D7:H7)</f>
        <v>361631.48</v>
      </c>
      <c r="D7" s="546">
        <v>338524.70999999996</v>
      </c>
      <c r="E7" s="546">
        <v>1423.3300000000002</v>
      </c>
      <c r="F7" s="546">
        <v>1945.15</v>
      </c>
      <c r="G7" s="546">
        <v>2027.66</v>
      </c>
      <c r="H7" s="546">
        <v>17710.629999999997</v>
      </c>
      <c r="I7" s="546">
        <f>SUM(J7:N7)</f>
        <v>26220.889999999996</v>
      </c>
      <c r="J7" s="546">
        <v>6770.5299999999979</v>
      </c>
      <c r="K7" s="546">
        <v>142.34</v>
      </c>
      <c r="L7" s="546">
        <v>583.54999999999995</v>
      </c>
      <c r="M7" s="546">
        <v>1013.84</v>
      </c>
      <c r="N7" s="546">
        <v>17710.629999999997</v>
      </c>
      <c r="O7" s="546"/>
    </row>
    <row r="8" spans="1:15" x14ac:dyDescent="0.25">
      <c r="A8" s="540">
        <v>2</v>
      </c>
      <c r="B8" s="541" t="s">
        <v>596</v>
      </c>
      <c r="C8" s="620">
        <f t="shared" ref="C8:C32" si="0">SUM(D8:H8)</f>
        <v>809264.09999999986</v>
      </c>
      <c r="D8" s="546">
        <v>755578.20999999985</v>
      </c>
      <c r="E8" s="546">
        <v>976.49</v>
      </c>
      <c r="F8" s="599">
        <v>20085.099999999999</v>
      </c>
      <c r="G8" s="599">
        <v>32624.3</v>
      </c>
      <c r="H8" s="546">
        <v>0</v>
      </c>
      <c r="I8" s="546">
        <f t="shared" ref="I8:I32" si="1">SUM(J8:N8)</f>
        <v>37546.879999999997</v>
      </c>
      <c r="J8" s="599">
        <v>15111.550000000001</v>
      </c>
      <c r="K8" s="599">
        <v>97.65</v>
      </c>
      <c r="L8" s="599">
        <v>6025.53</v>
      </c>
      <c r="M8" s="599">
        <v>16312.15</v>
      </c>
      <c r="N8" s="599">
        <v>0</v>
      </c>
      <c r="O8" s="546"/>
    </row>
    <row r="9" spans="1:15" x14ac:dyDescent="0.25">
      <c r="A9" s="540">
        <v>3</v>
      </c>
      <c r="B9" s="541" t="s">
        <v>597</v>
      </c>
      <c r="C9" s="620">
        <f t="shared" si="0"/>
        <v>0</v>
      </c>
      <c r="D9" s="546">
        <v>0</v>
      </c>
      <c r="E9" s="546">
        <v>0</v>
      </c>
      <c r="F9" s="621">
        <v>0</v>
      </c>
      <c r="G9" s="621">
        <v>0</v>
      </c>
      <c r="H9" s="546">
        <v>0</v>
      </c>
      <c r="I9" s="546">
        <f t="shared" si="1"/>
        <v>0</v>
      </c>
      <c r="J9" s="621">
        <v>0</v>
      </c>
      <c r="K9" s="621">
        <v>0</v>
      </c>
      <c r="L9" s="621">
        <v>0</v>
      </c>
      <c r="M9" s="621">
        <v>0</v>
      </c>
      <c r="N9" s="621">
        <v>0</v>
      </c>
      <c r="O9" s="546"/>
    </row>
    <row r="10" spans="1:15" x14ac:dyDescent="0.25">
      <c r="A10" s="540">
        <v>4</v>
      </c>
      <c r="B10" s="541" t="s">
        <v>598</v>
      </c>
      <c r="C10" s="620">
        <f t="shared" si="0"/>
        <v>101000</v>
      </c>
      <c r="D10" s="546">
        <v>101000</v>
      </c>
      <c r="E10" s="546">
        <v>0</v>
      </c>
      <c r="F10" s="621">
        <v>0</v>
      </c>
      <c r="G10" s="621">
        <v>0</v>
      </c>
      <c r="H10" s="546">
        <v>0</v>
      </c>
      <c r="I10" s="546">
        <f t="shared" si="1"/>
        <v>2020</v>
      </c>
      <c r="J10" s="621">
        <v>2020</v>
      </c>
      <c r="K10" s="621">
        <v>0</v>
      </c>
      <c r="L10" s="621">
        <v>0</v>
      </c>
      <c r="M10" s="621">
        <v>0</v>
      </c>
      <c r="N10" s="621">
        <v>0</v>
      </c>
      <c r="O10" s="546"/>
    </row>
    <row r="11" spans="1:15" x14ac:dyDescent="0.25">
      <c r="A11" s="540">
        <v>5</v>
      </c>
      <c r="B11" s="541" t="s">
        <v>599</v>
      </c>
      <c r="C11" s="620">
        <f t="shared" si="0"/>
        <v>5080898.68</v>
      </c>
      <c r="D11" s="546">
        <v>3977361.91</v>
      </c>
      <c r="E11" s="546">
        <v>116.62</v>
      </c>
      <c r="F11" s="621">
        <v>1103220.6499999999</v>
      </c>
      <c r="G11" s="621">
        <v>0</v>
      </c>
      <c r="H11" s="546">
        <v>199.5</v>
      </c>
      <c r="I11" s="546">
        <f t="shared" si="1"/>
        <v>410724.58999999997</v>
      </c>
      <c r="J11" s="621">
        <v>79547.239999999991</v>
      </c>
      <c r="K11" s="621">
        <v>11.66</v>
      </c>
      <c r="L11" s="621">
        <v>330966.19</v>
      </c>
      <c r="M11" s="621">
        <v>0</v>
      </c>
      <c r="N11" s="621">
        <v>199.5</v>
      </c>
      <c r="O11" s="546"/>
    </row>
    <row r="12" spans="1:15" x14ac:dyDescent="0.25">
      <c r="A12" s="540">
        <v>6</v>
      </c>
      <c r="B12" s="541" t="s">
        <v>600</v>
      </c>
      <c r="C12" s="620">
        <f t="shared" si="0"/>
        <v>54242.45</v>
      </c>
      <c r="D12" s="546">
        <v>52494.039999999994</v>
      </c>
      <c r="E12" s="546">
        <v>169.23</v>
      </c>
      <c r="F12" s="621">
        <v>0</v>
      </c>
      <c r="G12" s="621">
        <v>619.68999999999994</v>
      </c>
      <c r="H12" s="546">
        <v>959.49</v>
      </c>
      <c r="I12" s="546">
        <f t="shared" si="1"/>
        <v>2336.1499999999996</v>
      </c>
      <c r="J12" s="621">
        <v>1049.8899999999999</v>
      </c>
      <c r="K12" s="621">
        <v>16.920000000000002</v>
      </c>
      <c r="L12" s="621">
        <v>0</v>
      </c>
      <c r="M12" s="621">
        <v>309.85000000000002</v>
      </c>
      <c r="N12" s="621">
        <v>959.49</v>
      </c>
      <c r="O12" s="546"/>
    </row>
    <row r="13" spans="1:15" x14ac:dyDescent="0.25">
      <c r="A13" s="540">
        <v>7</v>
      </c>
      <c r="B13" s="541" t="s">
        <v>601</v>
      </c>
      <c r="C13" s="620">
        <f t="shared" si="0"/>
        <v>58494.649999999994</v>
      </c>
      <c r="D13" s="546">
        <v>57688.049999999996</v>
      </c>
      <c r="E13" s="546">
        <v>0</v>
      </c>
      <c r="F13" s="621">
        <v>0</v>
      </c>
      <c r="G13" s="621">
        <v>237</v>
      </c>
      <c r="H13" s="546">
        <v>569.6</v>
      </c>
      <c r="I13" s="546">
        <f t="shared" si="1"/>
        <v>1841.87</v>
      </c>
      <c r="J13" s="621">
        <v>1153.77</v>
      </c>
      <c r="K13" s="621">
        <v>0</v>
      </c>
      <c r="L13" s="621">
        <v>0</v>
      </c>
      <c r="M13" s="621">
        <v>118.5</v>
      </c>
      <c r="N13" s="621">
        <v>569.6</v>
      </c>
      <c r="O13" s="546"/>
    </row>
    <row r="14" spans="1:15" x14ac:dyDescent="0.25">
      <c r="A14" s="540">
        <v>8</v>
      </c>
      <c r="B14" s="541" t="s">
        <v>602</v>
      </c>
      <c r="C14" s="620">
        <f t="shared" si="0"/>
        <v>3980.0499999999993</v>
      </c>
      <c r="D14" s="546">
        <v>2132.91</v>
      </c>
      <c r="E14" s="546">
        <v>289.10000000000002</v>
      </c>
      <c r="F14" s="621">
        <v>1412.09</v>
      </c>
      <c r="G14" s="621">
        <v>0</v>
      </c>
      <c r="H14" s="546">
        <v>145.94999999999999</v>
      </c>
      <c r="I14" s="546">
        <f t="shared" si="1"/>
        <v>641.14</v>
      </c>
      <c r="J14" s="621">
        <v>42.66</v>
      </c>
      <c r="K14" s="621">
        <v>28.91</v>
      </c>
      <c r="L14" s="621">
        <v>423.62</v>
      </c>
      <c r="M14" s="621">
        <v>0</v>
      </c>
      <c r="N14" s="621">
        <v>145.94999999999999</v>
      </c>
      <c r="O14" s="546"/>
    </row>
    <row r="15" spans="1:15" x14ac:dyDescent="0.25">
      <c r="A15" s="540">
        <v>9</v>
      </c>
      <c r="B15" s="541" t="s">
        <v>603</v>
      </c>
      <c r="C15" s="620">
        <f t="shared" si="0"/>
        <v>15887.630000000001</v>
      </c>
      <c r="D15" s="546">
        <v>15725.45</v>
      </c>
      <c r="E15" s="546">
        <v>162.18</v>
      </c>
      <c r="F15" s="621">
        <v>0</v>
      </c>
      <c r="G15" s="621">
        <v>0</v>
      </c>
      <c r="H15" s="546">
        <v>0</v>
      </c>
      <c r="I15" s="546">
        <f t="shared" si="1"/>
        <v>330.74</v>
      </c>
      <c r="J15" s="621">
        <v>314.52</v>
      </c>
      <c r="K15" s="621">
        <v>16.22</v>
      </c>
      <c r="L15" s="621">
        <v>0</v>
      </c>
      <c r="M15" s="621">
        <v>0</v>
      </c>
      <c r="N15" s="621">
        <v>0</v>
      </c>
      <c r="O15" s="546"/>
    </row>
    <row r="16" spans="1:15" x14ac:dyDescent="0.25">
      <c r="A16" s="540">
        <v>10</v>
      </c>
      <c r="B16" s="541" t="s">
        <v>604</v>
      </c>
      <c r="C16" s="620">
        <f t="shared" si="0"/>
        <v>557.86</v>
      </c>
      <c r="D16" s="546">
        <v>557.86</v>
      </c>
      <c r="E16" s="546">
        <v>0</v>
      </c>
      <c r="F16" s="621">
        <v>0</v>
      </c>
      <c r="G16" s="621">
        <v>0</v>
      </c>
      <c r="H16" s="546">
        <v>0</v>
      </c>
      <c r="I16" s="546">
        <f t="shared" si="1"/>
        <v>11.16</v>
      </c>
      <c r="J16" s="621">
        <v>11.16</v>
      </c>
      <c r="K16" s="621">
        <v>0</v>
      </c>
      <c r="L16" s="621">
        <v>0</v>
      </c>
      <c r="M16" s="621">
        <v>0</v>
      </c>
      <c r="N16" s="621">
        <v>0</v>
      </c>
      <c r="O16" s="546"/>
    </row>
    <row r="17" spans="1:15" x14ac:dyDescent="0.25">
      <c r="A17" s="540">
        <v>11</v>
      </c>
      <c r="B17" s="541" t="s">
        <v>605</v>
      </c>
      <c r="C17" s="620">
        <f t="shared" si="0"/>
        <v>1382.52</v>
      </c>
      <c r="D17" s="546">
        <v>575.78</v>
      </c>
      <c r="E17" s="546">
        <v>350.7</v>
      </c>
      <c r="F17" s="621">
        <v>123.97</v>
      </c>
      <c r="G17" s="621">
        <v>0</v>
      </c>
      <c r="H17" s="546">
        <v>332.07</v>
      </c>
      <c r="I17" s="546">
        <f t="shared" si="1"/>
        <v>415.85</v>
      </c>
      <c r="J17" s="621">
        <v>11.52</v>
      </c>
      <c r="K17" s="621">
        <v>35.07</v>
      </c>
      <c r="L17" s="621">
        <v>37.19</v>
      </c>
      <c r="M17" s="621">
        <v>0</v>
      </c>
      <c r="N17" s="621">
        <v>332.07</v>
      </c>
      <c r="O17" s="546"/>
    </row>
    <row r="18" spans="1:15" x14ac:dyDescent="0.25">
      <c r="A18" s="540">
        <v>12</v>
      </c>
      <c r="B18" s="541" t="s">
        <v>606</v>
      </c>
      <c r="C18" s="620">
        <f t="shared" si="0"/>
        <v>174095.83</v>
      </c>
      <c r="D18" s="546">
        <v>161781.04999999999</v>
      </c>
      <c r="E18" s="546">
        <v>2097.31</v>
      </c>
      <c r="F18" s="621">
        <v>6650.26</v>
      </c>
      <c r="G18" s="621">
        <v>2129.58</v>
      </c>
      <c r="H18" s="546">
        <v>1437.6299999999999</v>
      </c>
      <c r="I18" s="546">
        <f t="shared" si="1"/>
        <v>7942.9000000000005</v>
      </c>
      <c r="J18" s="621">
        <v>3235.64</v>
      </c>
      <c r="K18" s="621">
        <v>209.73000000000002</v>
      </c>
      <c r="L18" s="621">
        <v>1995.0900000000001</v>
      </c>
      <c r="M18" s="621">
        <v>1064.81</v>
      </c>
      <c r="N18" s="621">
        <v>1437.6299999999999</v>
      </c>
      <c r="O18" s="546"/>
    </row>
    <row r="19" spans="1:15" x14ac:dyDescent="0.25">
      <c r="A19" s="540">
        <v>13</v>
      </c>
      <c r="B19" s="541" t="s">
        <v>607</v>
      </c>
      <c r="C19" s="620">
        <f t="shared" si="0"/>
        <v>18870.989999999998</v>
      </c>
      <c r="D19" s="546">
        <v>14005.58</v>
      </c>
      <c r="E19" s="546">
        <v>1025.6599999999999</v>
      </c>
      <c r="F19" s="621">
        <v>1402.0099999999998</v>
      </c>
      <c r="G19" s="621">
        <v>534.57000000000005</v>
      </c>
      <c r="H19" s="546">
        <v>1903.17</v>
      </c>
      <c r="I19" s="546">
        <f t="shared" si="1"/>
        <v>2973.73</v>
      </c>
      <c r="J19" s="621">
        <v>280.11</v>
      </c>
      <c r="K19" s="621">
        <v>102.56</v>
      </c>
      <c r="L19" s="621">
        <v>420.59999999999997</v>
      </c>
      <c r="M19" s="621">
        <v>267.29000000000002</v>
      </c>
      <c r="N19" s="621">
        <v>1903.17</v>
      </c>
      <c r="O19" s="546"/>
    </row>
    <row r="20" spans="1:15" x14ac:dyDescent="0.25">
      <c r="A20" s="540">
        <v>14</v>
      </c>
      <c r="B20" s="541" t="s">
        <v>608</v>
      </c>
      <c r="C20" s="620">
        <f t="shared" si="0"/>
        <v>161996.16</v>
      </c>
      <c r="D20" s="546">
        <v>161775.18</v>
      </c>
      <c r="E20" s="546">
        <v>0</v>
      </c>
      <c r="F20" s="621">
        <v>0</v>
      </c>
      <c r="G20" s="621">
        <v>220.98</v>
      </c>
      <c r="H20" s="546">
        <v>0</v>
      </c>
      <c r="I20" s="546">
        <f t="shared" si="1"/>
        <v>3345.99</v>
      </c>
      <c r="J20" s="621">
        <v>3235.5</v>
      </c>
      <c r="K20" s="621">
        <v>0</v>
      </c>
      <c r="L20" s="621">
        <v>0</v>
      </c>
      <c r="M20" s="621">
        <v>110.49</v>
      </c>
      <c r="N20" s="621">
        <v>0</v>
      </c>
      <c r="O20" s="546"/>
    </row>
    <row r="21" spans="1:15" x14ac:dyDescent="0.25">
      <c r="A21" s="540">
        <v>15</v>
      </c>
      <c r="B21" s="541" t="s">
        <v>609</v>
      </c>
      <c r="C21" s="620">
        <f t="shared" si="0"/>
        <v>60106.52</v>
      </c>
      <c r="D21" s="546">
        <v>58838.879999999997</v>
      </c>
      <c r="E21" s="546">
        <v>0</v>
      </c>
      <c r="F21" s="621">
        <v>55.86</v>
      </c>
      <c r="G21" s="621">
        <v>748.45</v>
      </c>
      <c r="H21" s="546">
        <v>463.33000000000004</v>
      </c>
      <c r="I21" s="546">
        <f t="shared" si="1"/>
        <v>2031.1</v>
      </c>
      <c r="J21" s="621">
        <v>1176.77</v>
      </c>
      <c r="K21" s="621">
        <v>0</v>
      </c>
      <c r="L21" s="621">
        <v>16.760000000000002</v>
      </c>
      <c r="M21" s="621">
        <v>374.24</v>
      </c>
      <c r="N21" s="621">
        <v>463.33000000000004</v>
      </c>
      <c r="O21" s="546"/>
    </row>
    <row r="22" spans="1:15" x14ac:dyDescent="0.25">
      <c r="A22" s="540">
        <v>16</v>
      </c>
      <c r="B22" s="541" t="s">
        <v>610</v>
      </c>
      <c r="C22" s="620">
        <f t="shared" si="0"/>
        <v>302.17</v>
      </c>
      <c r="D22" s="546">
        <v>0</v>
      </c>
      <c r="E22" s="546">
        <v>0</v>
      </c>
      <c r="F22" s="621">
        <v>0</v>
      </c>
      <c r="G22" s="621">
        <v>0</v>
      </c>
      <c r="H22" s="546">
        <v>302.17</v>
      </c>
      <c r="I22" s="546">
        <f t="shared" si="1"/>
        <v>302.17</v>
      </c>
      <c r="J22" s="621">
        <v>0</v>
      </c>
      <c r="K22" s="621">
        <v>0</v>
      </c>
      <c r="L22" s="621">
        <v>0</v>
      </c>
      <c r="M22" s="621">
        <v>0</v>
      </c>
      <c r="N22" s="621">
        <v>302.17</v>
      </c>
      <c r="O22" s="546"/>
    </row>
    <row r="23" spans="1:15" x14ac:dyDescent="0.25">
      <c r="A23" s="540">
        <v>17</v>
      </c>
      <c r="B23" s="541" t="s">
        <v>611</v>
      </c>
      <c r="C23" s="620">
        <f t="shared" si="0"/>
        <v>9287.15</v>
      </c>
      <c r="D23" s="546">
        <v>0</v>
      </c>
      <c r="E23" s="546">
        <v>0</v>
      </c>
      <c r="F23" s="621">
        <v>9287.15</v>
      </c>
      <c r="G23" s="621">
        <v>0</v>
      </c>
      <c r="H23" s="546">
        <v>0</v>
      </c>
      <c r="I23" s="546">
        <f t="shared" si="1"/>
        <v>2786.15</v>
      </c>
      <c r="J23" s="621">
        <v>0</v>
      </c>
      <c r="K23" s="621">
        <v>0</v>
      </c>
      <c r="L23" s="621">
        <v>2786.15</v>
      </c>
      <c r="M23" s="621">
        <v>0</v>
      </c>
      <c r="N23" s="621">
        <v>0</v>
      </c>
      <c r="O23" s="546"/>
    </row>
    <row r="24" spans="1:15" x14ac:dyDescent="0.25">
      <c r="A24" s="540">
        <v>18</v>
      </c>
      <c r="B24" s="541" t="s">
        <v>612</v>
      </c>
      <c r="C24" s="620">
        <f t="shared" si="0"/>
        <v>25908.85</v>
      </c>
      <c r="D24" s="546">
        <v>25362.36</v>
      </c>
      <c r="E24" s="546">
        <v>0</v>
      </c>
      <c r="F24" s="621">
        <v>189.26</v>
      </c>
      <c r="G24" s="621">
        <v>0</v>
      </c>
      <c r="H24" s="546">
        <v>357.23</v>
      </c>
      <c r="I24" s="546">
        <f t="shared" si="1"/>
        <v>921.26</v>
      </c>
      <c r="J24" s="621">
        <v>507.25</v>
      </c>
      <c r="K24" s="621">
        <v>0</v>
      </c>
      <c r="L24" s="621">
        <v>56.78</v>
      </c>
      <c r="M24" s="621">
        <v>0</v>
      </c>
      <c r="N24" s="621">
        <v>357.23</v>
      </c>
      <c r="O24" s="546"/>
    </row>
    <row r="25" spans="1:15" x14ac:dyDescent="0.25">
      <c r="A25" s="540">
        <v>19</v>
      </c>
      <c r="B25" s="541" t="s">
        <v>613</v>
      </c>
      <c r="C25" s="620">
        <f t="shared" si="0"/>
        <v>8697.9600000000009</v>
      </c>
      <c r="D25" s="546">
        <v>7852.29</v>
      </c>
      <c r="E25" s="546">
        <v>94.02</v>
      </c>
      <c r="F25" s="621">
        <v>150.68</v>
      </c>
      <c r="G25" s="621">
        <v>0</v>
      </c>
      <c r="H25" s="546">
        <v>600.97</v>
      </c>
      <c r="I25" s="546">
        <f t="shared" si="1"/>
        <v>812.62000000000012</v>
      </c>
      <c r="J25" s="621">
        <v>157.05000000000001</v>
      </c>
      <c r="K25" s="621">
        <v>9.4</v>
      </c>
      <c r="L25" s="621">
        <v>45.2</v>
      </c>
      <c r="M25" s="621">
        <v>0</v>
      </c>
      <c r="N25" s="621">
        <v>600.97</v>
      </c>
      <c r="O25" s="546"/>
    </row>
    <row r="26" spans="1:15" x14ac:dyDescent="0.25">
      <c r="A26" s="540">
        <v>20</v>
      </c>
      <c r="B26" s="541" t="s">
        <v>614</v>
      </c>
      <c r="C26" s="620">
        <f t="shared" si="0"/>
        <v>41148.550000000003</v>
      </c>
      <c r="D26" s="546">
        <v>39167.18</v>
      </c>
      <c r="E26" s="546">
        <v>745.41</v>
      </c>
      <c r="F26" s="621">
        <v>342.33000000000004</v>
      </c>
      <c r="G26" s="621">
        <v>373.96</v>
      </c>
      <c r="H26" s="546">
        <v>519.66999999999996</v>
      </c>
      <c r="I26" s="546">
        <f t="shared" si="1"/>
        <v>1667.25</v>
      </c>
      <c r="J26" s="621">
        <v>783.34999999999991</v>
      </c>
      <c r="K26" s="621">
        <v>74.55</v>
      </c>
      <c r="L26" s="621">
        <v>102.7</v>
      </c>
      <c r="M26" s="621">
        <v>186.98</v>
      </c>
      <c r="N26" s="621">
        <v>519.66999999999996</v>
      </c>
      <c r="O26" s="546"/>
    </row>
    <row r="27" spans="1:15" x14ac:dyDescent="0.25">
      <c r="A27" s="540">
        <v>21</v>
      </c>
      <c r="B27" s="541" t="s">
        <v>615</v>
      </c>
      <c r="C27" s="620">
        <f t="shared" si="0"/>
        <v>3142.4199999999996</v>
      </c>
      <c r="D27" s="546">
        <v>2257.7099999999996</v>
      </c>
      <c r="E27" s="546">
        <v>649</v>
      </c>
      <c r="F27" s="621">
        <v>0</v>
      </c>
      <c r="G27" s="621">
        <v>235.71</v>
      </c>
      <c r="H27" s="546">
        <v>0</v>
      </c>
      <c r="I27" s="546">
        <f t="shared" si="1"/>
        <v>227.91000000000003</v>
      </c>
      <c r="J27" s="621">
        <v>45.150000000000006</v>
      </c>
      <c r="K27" s="621">
        <v>64.900000000000006</v>
      </c>
      <c r="L27" s="621">
        <v>0</v>
      </c>
      <c r="M27" s="621">
        <v>117.86</v>
      </c>
      <c r="N27" s="621">
        <v>0</v>
      </c>
      <c r="O27" s="546"/>
    </row>
    <row r="28" spans="1:15" x14ac:dyDescent="0.25">
      <c r="A28" s="540">
        <v>22</v>
      </c>
      <c r="B28" s="541" t="s">
        <v>616</v>
      </c>
      <c r="C28" s="620">
        <f t="shared" si="0"/>
        <v>2117409.4900000012</v>
      </c>
      <c r="D28" s="546">
        <v>2038419.7300000011</v>
      </c>
      <c r="E28" s="546">
        <v>25431.81</v>
      </c>
      <c r="F28" s="621">
        <v>42485.43</v>
      </c>
      <c r="G28" s="621">
        <v>0</v>
      </c>
      <c r="H28" s="546">
        <v>11072.52</v>
      </c>
      <c r="I28" s="546">
        <f t="shared" si="1"/>
        <v>67129.760000000009</v>
      </c>
      <c r="J28" s="621">
        <v>40768.430000000015</v>
      </c>
      <c r="K28" s="621">
        <v>2543.1799999999998</v>
      </c>
      <c r="L28" s="621">
        <v>12745.63</v>
      </c>
      <c r="M28" s="621">
        <v>0</v>
      </c>
      <c r="N28" s="621">
        <v>11072.52</v>
      </c>
      <c r="O28" s="546"/>
    </row>
    <row r="29" spans="1:15" x14ac:dyDescent="0.25">
      <c r="A29" s="540">
        <v>23</v>
      </c>
      <c r="B29" s="541" t="s">
        <v>617</v>
      </c>
      <c r="C29" s="620">
        <f t="shared" si="0"/>
        <v>4803505.4799999977</v>
      </c>
      <c r="D29" s="546">
        <v>4739614.1799999988</v>
      </c>
      <c r="E29" s="546">
        <v>3926.4300000000003</v>
      </c>
      <c r="F29" s="621">
        <v>13896.71</v>
      </c>
      <c r="G29" s="621">
        <v>11389.06</v>
      </c>
      <c r="H29" s="546">
        <v>34679.1</v>
      </c>
      <c r="I29" s="546">
        <f t="shared" si="1"/>
        <v>139727.62000000005</v>
      </c>
      <c r="J29" s="621">
        <v>94792.33000000006</v>
      </c>
      <c r="K29" s="621">
        <v>392.64999999999992</v>
      </c>
      <c r="L29" s="621">
        <v>4169.01</v>
      </c>
      <c r="M29" s="621">
        <v>5694.53</v>
      </c>
      <c r="N29" s="621">
        <v>34679.1</v>
      </c>
      <c r="O29" s="546"/>
    </row>
    <row r="30" spans="1:15" x14ac:dyDescent="0.25">
      <c r="A30" s="540">
        <v>24</v>
      </c>
      <c r="B30" s="541" t="s">
        <v>618</v>
      </c>
      <c r="C30" s="620">
        <f t="shared" si="0"/>
        <v>965327.25</v>
      </c>
      <c r="D30" s="546">
        <v>2083.2599999999998</v>
      </c>
      <c r="E30" s="546">
        <v>0</v>
      </c>
      <c r="F30" s="621">
        <v>962622.57</v>
      </c>
      <c r="G30" s="621">
        <v>0</v>
      </c>
      <c r="H30" s="546">
        <v>621.42000000000007</v>
      </c>
      <c r="I30" s="546">
        <f t="shared" si="1"/>
        <v>289449.84999999998</v>
      </c>
      <c r="J30" s="621">
        <v>41.66</v>
      </c>
      <c r="K30" s="621">
        <v>0</v>
      </c>
      <c r="L30" s="621">
        <v>288786.77</v>
      </c>
      <c r="M30" s="621">
        <v>0</v>
      </c>
      <c r="N30" s="621">
        <v>621.42000000000007</v>
      </c>
      <c r="O30" s="546"/>
    </row>
    <row r="31" spans="1:15" x14ac:dyDescent="0.25">
      <c r="A31" s="540">
        <v>25</v>
      </c>
      <c r="B31" s="541" t="s">
        <v>619</v>
      </c>
      <c r="C31" s="620">
        <f t="shared" si="0"/>
        <v>1312102.2499999995</v>
      </c>
      <c r="D31" s="546">
        <v>1232188.7399999998</v>
      </c>
      <c r="E31" s="546">
        <v>4079.15</v>
      </c>
      <c r="F31" s="621">
        <v>73814.439999999988</v>
      </c>
      <c r="G31" s="621">
        <v>417.18</v>
      </c>
      <c r="H31" s="546">
        <v>1602.74</v>
      </c>
      <c r="I31" s="546">
        <f t="shared" si="1"/>
        <v>49007.30999999999</v>
      </c>
      <c r="J31" s="621">
        <v>24643.749999999996</v>
      </c>
      <c r="K31" s="621">
        <v>407.9</v>
      </c>
      <c r="L31" s="621">
        <v>22144.329999999998</v>
      </c>
      <c r="M31" s="621">
        <v>208.59</v>
      </c>
      <c r="N31" s="621">
        <v>1602.74</v>
      </c>
      <c r="O31" s="546"/>
    </row>
    <row r="32" spans="1:15" x14ac:dyDescent="0.25">
      <c r="A32" s="540">
        <v>26</v>
      </c>
      <c r="B32" s="541" t="s">
        <v>721</v>
      </c>
      <c r="C32" s="620">
        <f t="shared" si="0"/>
        <v>0</v>
      </c>
      <c r="D32" s="546">
        <v>0</v>
      </c>
      <c r="E32" s="546">
        <v>0</v>
      </c>
      <c r="F32" s="621">
        <v>0</v>
      </c>
      <c r="G32" s="621">
        <v>0</v>
      </c>
      <c r="H32" s="546">
        <v>0</v>
      </c>
      <c r="I32" s="546">
        <f t="shared" si="1"/>
        <v>0</v>
      </c>
      <c r="J32" s="621">
        <v>0</v>
      </c>
      <c r="K32" s="621">
        <v>0</v>
      </c>
      <c r="L32" s="621">
        <v>0</v>
      </c>
      <c r="M32" s="621">
        <v>0</v>
      </c>
      <c r="N32" s="621">
        <v>0</v>
      </c>
      <c r="O32" s="546"/>
    </row>
    <row r="33" spans="1:15" x14ac:dyDescent="0.25">
      <c r="A33" s="540">
        <v>27</v>
      </c>
      <c r="B33" s="570" t="s">
        <v>84</v>
      </c>
      <c r="C33" s="622">
        <f>SUM(C7:C32)</f>
        <v>16189240.489999998</v>
      </c>
      <c r="D33" s="546">
        <f t="shared" ref="D33:N33" si="2">SUM(D7:D32)</f>
        <v>13784985.060000001</v>
      </c>
      <c r="E33" s="546">
        <f t="shared" si="2"/>
        <v>41536.44</v>
      </c>
      <c r="F33" s="621">
        <f t="shared" si="2"/>
        <v>2237683.6599999997</v>
      </c>
      <c r="G33" s="621">
        <f t="shared" si="2"/>
        <v>51558.14</v>
      </c>
      <c r="H33" s="546">
        <f t="shared" si="2"/>
        <v>73477.19</v>
      </c>
      <c r="I33" s="546">
        <f t="shared" si="2"/>
        <v>1050414.8899999999</v>
      </c>
      <c r="J33" s="621">
        <f t="shared" si="2"/>
        <v>275699.83000000007</v>
      </c>
      <c r="K33" s="621">
        <f t="shared" si="2"/>
        <v>4153.6399999999994</v>
      </c>
      <c r="L33" s="621">
        <f t="shared" si="2"/>
        <v>671305.10000000009</v>
      </c>
      <c r="M33" s="621">
        <f t="shared" si="2"/>
        <v>25779.13</v>
      </c>
      <c r="N33" s="621">
        <f t="shared" si="2"/>
        <v>73477.19</v>
      </c>
      <c r="O33" s="546">
        <f>'19. Assets by Risk Sectors'!G34</f>
        <v>0</v>
      </c>
    </row>
    <row r="35" spans="1:15" x14ac:dyDescent="0.25">
      <c r="B35" s="542"/>
      <c r="C35" s="542"/>
    </row>
    <row r="41" spans="1:15" x14ac:dyDescent="0.25">
      <c r="A41" s="536"/>
      <c r="B41" s="536"/>
      <c r="C41" s="536"/>
    </row>
    <row r="42" spans="1:15" x14ac:dyDescent="0.25">
      <c r="A42" s="536"/>
      <c r="B42" s="536"/>
      <c r="C42" s="536"/>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E8611-6693-4583-B3FC-C1DAB0A54A86}">
  <dimension ref="A1:K11"/>
  <sheetViews>
    <sheetView showGridLines="0" topLeftCell="F1" zoomScale="80" zoomScaleNormal="80" workbookViewId="0">
      <selection activeCell="K6" sqref="C6:K11"/>
    </sheetView>
  </sheetViews>
  <sheetFormatPr defaultColWidth="8.7109375" defaultRowHeight="12" x14ac:dyDescent="0.2"/>
  <cols>
    <col min="1" max="1" width="11.7109375" style="571" bestFit="1" customWidth="1"/>
    <col min="2" max="2" width="80.28515625" style="571" customWidth="1"/>
    <col min="3" max="11" width="28.28515625" style="571" customWidth="1"/>
    <col min="12" max="16384" width="8.7109375" style="571"/>
  </cols>
  <sheetData>
    <row r="1" spans="1:11" s="514" customFormat="1" ht="12.75" x14ac:dyDescent="0.25">
      <c r="A1" s="513" t="s">
        <v>30</v>
      </c>
      <c r="B1" s="514" t="s">
        <v>2</v>
      </c>
    </row>
    <row r="2" spans="1:11" s="514" customFormat="1" ht="12.75" x14ac:dyDescent="0.25">
      <c r="A2" s="513" t="s">
        <v>31</v>
      </c>
      <c r="B2" s="539">
        <v>44742</v>
      </c>
    </row>
    <row r="3" spans="1:11" s="514" customFormat="1" ht="12.75" x14ac:dyDescent="0.25">
      <c r="A3" s="516" t="s">
        <v>722</v>
      </c>
      <c r="B3" s="517"/>
    </row>
    <row r="4" spans="1:11" x14ac:dyDescent="0.2">
      <c r="C4" s="572" t="s">
        <v>573</v>
      </c>
      <c r="D4" s="572" t="s">
        <v>574</v>
      </c>
      <c r="E4" s="572" t="s">
        <v>575</v>
      </c>
      <c r="F4" s="572" t="s">
        <v>576</v>
      </c>
      <c r="G4" s="572" t="s">
        <v>577</v>
      </c>
      <c r="H4" s="572" t="s">
        <v>578</v>
      </c>
      <c r="I4" s="572" t="s">
        <v>723</v>
      </c>
      <c r="J4" s="572" t="s">
        <v>724</v>
      </c>
      <c r="K4" s="572" t="s">
        <v>579</v>
      </c>
    </row>
    <row r="5" spans="1:11" ht="103.9" customHeight="1" x14ac:dyDescent="0.2">
      <c r="A5" s="732" t="s">
        <v>725</v>
      </c>
      <c r="B5" s="733"/>
      <c r="C5" s="518" t="s">
        <v>726</v>
      </c>
      <c r="D5" s="518" t="s">
        <v>727</v>
      </c>
      <c r="E5" s="518" t="s">
        <v>728</v>
      </c>
      <c r="F5" s="518" t="s">
        <v>729</v>
      </c>
      <c r="G5" s="518" t="s">
        <v>730</v>
      </c>
      <c r="H5" s="518" t="s">
        <v>731</v>
      </c>
      <c r="I5" s="518" t="s">
        <v>732</v>
      </c>
      <c r="J5" s="518" t="s">
        <v>733</v>
      </c>
      <c r="K5" s="518" t="s">
        <v>734</v>
      </c>
    </row>
    <row r="6" spans="1:11" ht="12.75" x14ac:dyDescent="0.25">
      <c r="A6" s="540">
        <v>1</v>
      </c>
      <c r="B6" s="540" t="s">
        <v>735</v>
      </c>
      <c r="C6" s="546"/>
      <c r="D6" s="546"/>
      <c r="E6" s="546"/>
      <c r="F6" s="546"/>
      <c r="G6" s="546">
        <f>'23. LTV'!C10</f>
        <v>12748462.370000001</v>
      </c>
      <c r="H6" s="546"/>
      <c r="I6" s="546">
        <v>74873.38</v>
      </c>
      <c r="J6" s="546"/>
      <c r="K6" s="546">
        <f>'24. Risk Sector'!C33-'25. Collateral'!I6-'25. Collateral'!G6</f>
        <v>3365904.7399999965</v>
      </c>
    </row>
    <row r="7" spans="1:11" ht="12.75" x14ac:dyDescent="0.25">
      <c r="A7" s="540">
        <v>2</v>
      </c>
      <c r="B7" s="540" t="s">
        <v>736</v>
      </c>
      <c r="C7" s="546"/>
      <c r="D7" s="546"/>
      <c r="E7" s="546"/>
      <c r="F7" s="546"/>
      <c r="G7" s="546"/>
      <c r="H7" s="546"/>
      <c r="I7" s="546"/>
      <c r="J7" s="546"/>
      <c r="K7" s="546">
        <v>5000000</v>
      </c>
    </row>
    <row r="8" spans="1:11" ht="12.75" x14ac:dyDescent="0.25">
      <c r="A8" s="540">
        <v>3</v>
      </c>
      <c r="B8" s="540" t="s">
        <v>688</v>
      </c>
      <c r="C8" s="546">
        <f>'4. Off-Balance'!E8</f>
        <v>1318789</v>
      </c>
      <c r="D8" s="546"/>
      <c r="E8" s="546"/>
      <c r="F8" s="546"/>
      <c r="G8" s="546"/>
      <c r="H8" s="546"/>
      <c r="I8" s="546"/>
      <c r="J8" s="546"/>
      <c r="K8" s="546">
        <f>'22. Quality'!C28</f>
        <v>116781.39</v>
      </c>
    </row>
    <row r="9" spans="1:11" ht="12.75" x14ac:dyDescent="0.25">
      <c r="A9" s="540">
        <v>4</v>
      </c>
      <c r="B9" s="554" t="s">
        <v>737</v>
      </c>
      <c r="C9" s="546"/>
      <c r="D9" s="546"/>
      <c r="E9" s="546"/>
      <c r="F9" s="546"/>
      <c r="G9" s="546">
        <f>'23. LTV'!L10</f>
        <v>2149772.9299999997</v>
      </c>
      <c r="H9" s="546"/>
      <c r="I9" s="546"/>
      <c r="J9" s="546"/>
      <c r="K9" s="546">
        <f>'22. Quality'!L13+'22. Quality'!L14-G9</f>
        <v>212946.06000000006</v>
      </c>
    </row>
    <row r="10" spans="1:11" ht="12.75" x14ac:dyDescent="0.25">
      <c r="A10" s="540">
        <v>5</v>
      </c>
      <c r="B10" s="554" t="s">
        <v>738</v>
      </c>
      <c r="C10" s="546"/>
      <c r="D10" s="546"/>
      <c r="E10" s="546"/>
      <c r="F10" s="546"/>
      <c r="G10" s="546"/>
      <c r="H10" s="546"/>
      <c r="I10" s="546"/>
      <c r="J10" s="546"/>
      <c r="K10" s="546"/>
    </row>
    <row r="11" spans="1:11" ht="12.75" x14ac:dyDescent="0.25">
      <c r="A11" s="540">
        <v>6</v>
      </c>
      <c r="B11" s="554" t="s">
        <v>739</v>
      </c>
      <c r="C11" s="546"/>
      <c r="D11" s="546"/>
      <c r="E11" s="546"/>
      <c r="F11" s="546"/>
      <c r="G11" s="546"/>
      <c r="H11" s="546"/>
      <c r="I11" s="546"/>
      <c r="J11" s="546"/>
      <c r="K11" s="546"/>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5F97-45DF-4C7B-A469-6BC4D5609D1F}">
  <dimension ref="A1:S20"/>
  <sheetViews>
    <sheetView showGridLines="0" topLeftCell="C1" zoomScale="90" zoomScaleNormal="90" workbookViewId="0">
      <selection activeCell="R33" sqref="R33"/>
    </sheetView>
  </sheetViews>
  <sheetFormatPr defaultRowHeight="15" x14ac:dyDescent="0.25"/>
  <cols>
    <col min="1" max="1" width="10" bestFit="1" customWidth="1"/>
    <col min="2" max="2" width="71.7109375" customWidth="1"/>
    <col min="3" max="3" width="12.5703125" customWidth="1"/>
    <col min="4" max="4" width="16.28515625" customWidth="1"/>
    <col min="5" max="5" width="15.140625" customWidth="1"/>
    <col min="6" max="6" width="17.85546875" customWidth="1"/>
    <col min="7" max="7" width="10.7109375" customWidth="1"/>
    <col min="8" max="8" width="12.7109375" customWidth="1"/>
    <col min="9" max="9" width="10.7109375" bestFit="1" customWidth="1"/>
    <col min="10" max="10" width="14.7109375" customWidth="1"/>
    <col min="11" max="11" width="14.140625" customWidth="1"/>
    <col min="12" max="12" width="18.28515625" customWidth="1"/>
    <col min="13" max="13" width="11.28515625" customWidth="1"/>
    <col min="14" max="14" width="12.7109375" customWidth="1"/>
    <col min="15" max="15" width="18" bestFit="1" customWidth="1"/>
    <col min="16" max="19" width="22.85546875" customWidth="1"/>
  </cols>
  <sheetData>
    <row r="1" spans="1:19" x14ac:dyDescent="0.25">
      <c r="A1" s="513" t="s">
        <v>30</v>
      </c>
      <c r="B1" s="19" t="s">
        <v>2</v>
      </c>
    </row>
    <row r="2" spans="1:19" x14ac:dyDescent="0.25">
      <c r="A2" s="513" t="s">
        <v>31</v>
      </c>
      <c r="B2" s="539">
        <v>44742</v>
      </c>
    </row>
    <row r="3" spans="1:19" x14ac:dyDescent="0.25">
      <c r="A3" s="516" t="s">
        <v>740</v>
      </c>
      <c r="B3" s="514"/>
    </row>
    <row r="4" spans="1:19" x14ac:dyDescent="0.25">
      <c r="A4" s="516"/>
      <c r="B4" s="514"/>
    </row>
    <row r="5" spans="1:19" ht="24" customHeight="1" x14ac:dyDescent="0.25">
      <c r="A5" s="735" t="s">
        <v>741</v>
      </c>
      <c r="B5" s="735"/>
      <c r="C5" s="736" t="s">
        <v>691</v>
      </c>
      <c r="D5" s="736"/>
      <c r="E5" s="736"/>
      <c r="F5" s="736"/>
      <c r="G5" s="736"/>
      <c r="H5" s="736"/>
      <c r="I5" s="736" t="s">
        <v>742</v>
      </c>
      <c r="J5" s="736"/>
      <c r="K5" s="736"/>
      <c r="L5" s="736"/>
      <c r="M5" s="736"/>
      <c r="N5" s="736"/>
      <c r="O5" s="734" t="s">
        <v>743</v>
      </c>
      <c r="P5" s="734" t="s">
        <v>744</v>
      </c>
      <c r="Q5" s="734" t="s">
        <v>745</v>
      </c>
      <c r="R5" s="734" t="s">
        <v>746</v>
      </c>
      <c r="S5" s="734" t="s">
        <v>747</v>
      </c>
    </row>
    <row r="6" spans="1:19" ht="36" customHeight="1" x14ac:dyDescent="0.25">
      <c r="A6" s="735"/>
      <c r="B6" s="735"/>
      <c r="C6" s="573"/>
      <c r="D6" s="556" t="s">
        <v>656</v>
      </c>
      <c r="E6" s="556" t="s">
        <v>657</v>
      </c>
      <c r="F6" s="556" t="s">
        <v>658</v>
      </c>
      <c r="G6" s="556" t="s">
        <v>659</v>
      </c>
      <c r="H6" s="556" t="s">
        <v>661</v>
      </c>
      <c r="I6" s="573"/>
      <c r="J6" s="556" t="s">
        <v>656</v>
      </c>
      <c r="K6" s="556" t="s">
        <v>657</v>
      </c>
      <c r="L6" s="556" t="s">
        <v>658</v>
      </c>
      <c r="M6" s="556" t="s">
        <v>659</v>
      </c>
      <c r="N6" s="556" t="s">
        <v>661</v>
      </c>
      <c r="O6" s="734"/>
      <c r="P6" s="734"/>
      <c r="Q6" s="734"/>
      <c r="R6" s="734"/>
      <c r="S6" s="734"/>
    </row>
    <row r="7" spans="1:19" x14ac:dyDescent="0.25">
      <c r="A7" s="574">
        <v>1</v>
      </c>
      <c r="B7" s="575" t="s">
        <v>748</v>
      </c>
      <c r="C7" s="576">
        <f>SUM(D7:H7)</f>
        <v>0</v>
      </c>
      <c r="D7" s="576">
        <v>0</v>
      </c>
      <c r="E7" s="576">
        <v>0</v>
      </c>
      <c r="F7" s="576">
        <v>0</v>
      </c>
      <c r="G7" s="576">
        <v>0</v>
      </c>
      <c r="H7" s="576">
        <v>0</v>
      </c>
      <c r="I7" s="576">
        <f>SUM(J7:N7)</f>
        <v>0</v>
      </c>
      <c r="J7" s="576">
        <v>0</v>
      </c>
      <c r="K7" s="576">
        <v>0</v>
      </c>
      <c r="L7" s="576">
        <v>0</v>
      </c>
      <c r="M7" s="576">
        <v>0</v>
      </c>
      <c r="N7" s="576">
        <v>0</v>
      </c>
      <c r="O7" s="576">
        <v>0</v>
      </c>
      <c r="P7" s="615">
        <v>0</v>
      </c>
      <c r="Q7" s="615">
        <v>0</v>
      </c>
      <c r="R7" s="615">
        <v>0</v>
      </c>
      <c r="S7" s="576">
        <v>0</v>
      </c>
    </row>
    <row r="8" spans="1:19" x14ac:dyDescent="0.25">
      <c r="A8" s="574">
        <v>2</v>
      </c>
      <c r="B8" s="577" t="s">
        <v>749</v>
      </c>
      <c r="C8" s="576">
        <f t="shared" ref="C8:C19" si="0">SUM(D8:H8)</f>
        <v>5226567.21</v>
      </c>
      <c r="D8" s="576">
        <v>4932624.71</v>
      </c>
      <c r="E8" s="576">
        <v>30175.18</v>
      </c>
      <c r="F8" s="576">
        <v>165321.07</v>
      </c>
      <c r="G8" s="576">
        <v>43715.44</v>
      </c>
      <c r="H8" s="576">
        <v>54730.81</v>
      </c>
      <c r="I8" s="576">
        <f t="shared" ref="I8:I19" si="1">SUM(J8:N8)</f>
        <v>227854.9</v>
      </c>
      <c r="J8" s="576">
        <v>98652.54</v>
      </c>
      <c r="K8" s="576">
        <v>3017.51</v>
      </c>
      <c r="L8" s="576">
        <v>49596.32</v>
      </c>
      <c r="M8" s="576">
        <v>21857.72</v>
      </c>
      <c r="N8" s="576">
        <v>54730.81</v>
      </c>
      <c r="O8" s="576">
        <v>396</v>
      </c>
      <c r="P8" s="615">
        <v>0.13907853785030799</v>
      </c>
      <c r="Q8" s="615">
        <v>0.16136993093343199</v>
      </c>
      <c r="R8" s="615">
        <v>0.13363327132073699</v>
      </c>
      <c r="S8" s="576">
        <v>51.906745643984401</v>
      </c>
    </row>
    <row r="9" spans="1:19" x14ac:dyDescent="0.25">
      <c r="A9" s="574">
        <v>3</v>
      </c>
      <c r="B9" s="577" t="s">
        <v>750</v>
      </c>
      <c r="C9" s="576">
        <f t="shared" si="0"/>
        <v>91166.68</v>
      </c>
      <c r="D9" s="576">
        <v>47511.83</v>
      </c>
      <c r="E9" s="576">
        <v>11358.96</v>
      </c>
      <c r="F9" s="576">
        <v>6836.87</v>
      </c>
      <c r="G9" s="576">
        <v>6718.26</v>
      </c>
      <c r="H9" s="576">
        <v>18740.759999999998</v>
      </c>
      <c r="I9" s="576">
        <f t="shared" si="1"/>
        <v>26237.22</v>
      </c>
      <c r="J9" s="576">
        <v>950.31</v>
      </c>
      <c r="K9" s="576">
        <v>1135.9000000000001</v>
      </c>
      <c r="L9" s="576">
        <v>2051.0700000000002</v>
      </c>
      <c r="M9" s="576">
        <v>3359.18</v>
      </c>
      <c r="N9" s="576">
        <v>18740.759999999998</v>
      </c>
      <c r="O9" s="576">
        <v>328</v>
      </c>
      <c r="P9" s="615">
        <v>0.35</v>
      </c>
      <c r="Q9" s="615">
        <v>0.42144895353355899</v>
      </c>
      <c r="R9" s="615">
        <v>0.35</v>
      </c>
      <c r="S9" s="576">
        <v>4.3340166208137001</v>
      </c>
    </row>
    <row r="10" spans="1:19" x14ac:dyDescent="0.25">
      <c r="A10" s="574">
        <v>4</v>
      </c>
      <c r="B10" s="577" t="s">
        <v>751</v>
      </c>
      <c r="C10" s="576">
        <f t="shared" si="0"/>
        <v>3370.04</v>
      </c>
      <c r="D10" s="576">
        <v>3370.04</v>
      </c>
      <c r="E10" s="576">
        <v>0</v>
      </c>
      <c r="F10" s="576">
        <v>0</v>
      </c>
      <c r="G10" s="576">
        <v>0</v>
      </c>
      <c r="H10" s="576">
        <v>0</v>
      </c>
      <c r="I10" s="576">
        <f t="shared" si="1"/>
        <v>67.41</v>
      </c>
      <c r="J10" s="576">
        <v>67.41</v>
      </c>
      <c r="K10" s="576">
        <v>0</v>
      </c>
      <c r="L10" s="576">
        <v>0</v>
      </c>
      <c r="M10" s="576">
        <v>0</v>
      </c>
      <c r="N10" s="576">
        <v>0</v>
      </c>
      <c r="O10" s="576">
        <v>6</v>
      </c>
      <c r="P10" s="615">
        <v>0</v>
      </c>
      <c r="Q10" s="615">
        <v>0</v>
      </c>
      <c r="R10" s="615">
        <v>0.10377355041184599</v>
      </c>
      <c r="S10" s="576">
        <v>6.0572859669321399</v>
      </c>
    </row>
    <row r="11" spans="1:19" x14ac:dyDescent="0.25">
      <c r="A11" s="574">
        <v>5</v>
      </c>
      <c r="B11" s="577" t="s">
        <v>752</v>
      </c>
      <c r="C11" s="576">
        <f t="shared" si="0"/>
        <v>29551.75</v>
      </c>
      <c r="D11" s="576">
        <v>29542.13</v>
      </c>
      <c r="E11" s="576">
        <v>1.5</v>
      </c>
      <c r="F11" s="576">
        <v>1.5</v>
      </c>
      <c r="G11" s="576">
        <v>1</v>
      </c>
      <c r="H11" s="576">
        <v>5.62</v>
      </c>
      <c r="I11" s="576">
        <f t="shared" si="1"/>
        <v>597.56000000000006</v>
      </c>
      <c r="J11" s="576">
        <v>590.84</v>
      </c>
      <c r="K11" s="576">
        <v>0.15</v>
      </c>
      <c r="L11" s="576">
        <v>0.45</v>
      </c>
      <c r="M11" s="576">
        <v>0.5</v>
      </c>
      <c r="N11" s="576">
        <v>5.62</v>
      </c>
      <c r="O11" s="576">
        <v>26</v>
      </c>
      <c r="P11" s="615">
        <v>0.17</v>
      </c>
      <c r="Q11" s="615">
        <v>0.17100000000000001</v>
      </c>
      <c r="R11" s="615">
        <v>0.17326284568595701</v>
      </c>
      <c r="S11" s="576">
        <v>14.7376339485338</v>
      </c>
    </row>
    <row r="12" spans="1:19" x14ac:dyDescent="0.25">
      <c r="A12" s="574">
        <v>6</v>
      </c>
      <c r="B12" s="577" t="s">
        <v>753</v>
      </c>
      <c r="C12" s="576">
        <f t="shared" si="0"/>
        <v>58890.33</v>
      </c>
      <c r="D12" s="576">
        <v>58490</v>
      </c>
      <c r="E12" s="576">
        <v>0.8</v>
      </c>
      <c r="F12" s="576">
        <v>0</v>
      </c>
      <c r="G12" s="576">
        <v>399.53</v>
      </c>
      <c r="H12" s="576">
        <v>0</v>
      </c>
      <c r="I12" s="576">
        <f t="shared" si="1"/>
        <v>1369.6399999999999</v>
      </c>
      <c r="J12" s="576">
        <v>1169.79</v>
      </c>
      <c r="K12" s="576">
        <v>0.08</v>
      </c>
      <c r="L12" s="576">
        <v>0</v>
      </c>
      <c r="M12" s="576">
        <v>199.77</v>
      </c>
      <c r="N12" s="576">
        <v>0</v>
      </c>
      <c r="O12" s="576">
        <v>70</v>
      </c>
      <c r="P12" s="615">
        <v>0.18</v>
      </c>
      <c r="Q12" s="615">
        <v>0.26500000000000001</v>
      </c>
      <c r="R12" s="615">
        <v>0.26708940500078698</v>
      </c>
      <c r="S12" s="576">
        <v>11.271083096324899</v>
      </c>
    </row>
    <row r="13" spans="1:19" x14ac:dyDescent="0.25">
      <c r="A13" s="574">
        <v>7</v>
      </c>
      <c r="B13" s="577" t="s">
        <v>754</v>
      </c>
      <c r="C13" s="576">
        <f t="shared" si="0"/>
        <v>288153.39999999997</v>
      </c>
      <c r="D13" s="576">
        <v>287429.49</v>
      </c>
      <c r="E13" s="576">
        <v>0</v>
      </c>
      <c r="F13" s="576">
        <v>0</v>
      </c>
      <c r="G13" s="576">
        <v>723.91</v>
      </c>
      <c r="H13" s="576">
        <v>0</v>
      </c>
      <c r="I13" s="576">
        <f t="shared" si="1"/>
        <v>6110.56</v>
      </c>
      <c r="J13" s="576">
        <v>5748.6</v>
      </c>
      <c r="K13" s="576">
        <v>0</v>
      </c>
      <c r="L13" s="576">
        <v>0</v>
      </c>
      <c r="M13" s="576">
        <v>361.96</v>
      </c>
      <c r="N13" s="576">
        <v>0</v>
      </c>
      <c r="O13" s="576">
        <v>8</v>
      </c>
      <c r="P13" s="615">
        <v>0.12</v>
      </c>
      <c r="Q13" s="615">
        <v>0.13300000000000001</v>
      </c>
      <c r="R13" s="615">
        <v>0.12288453474276401</v>
      </c>
      <c r="S13" s="576">
        <v>72.060226523729298</v>
      </c>
    </row>
    <row r="14" spans="1:19" x14ac:dyDescent="0.25">
      <c r="A14" s="578">
        <v>7.1</v>
      </c>
      <c r="B14" s="579" t="s">
        <v>755</v>
      </c>
      <c r="C14" s="576">
        <f t="shared" si="0"/>
        <v>78886.45</v>
      </c>
      <c r="D14" s="576">
        <v>78886.45</v>
      </c>
      <c r="E14" s="576">
        <v>0</v>
      </c>
      <c r="F14" s="576">
        <v>0</v>
      </c>
      <c r="G14" s="576">
        <v>0</v>
      </c>
      <c r="H14" s="576">
        <v>0</v>
      </c>
      <c r="I14" s="576">
        <f t="shared" si="1"/>
        <v>1577.73</v>
      </c>
      <c r="J14" s="576">
        <v>1577.73</v>
      </c>
      <c r="K14" s="576">
        <v>0</v>
      </c>
      <c r="L14" s="576">
        <v>0</v>
      </c>
      <c r="M14" s="576">
        <v>0</v>
      </c>
      <c r="N14" s="576">
        <v>0</v>
      </c>
      <c r="O14" s="576">
        <v>2</v>
      </c>
      <c r="P14" s="615">
        <v>0.12</v>
      </c>
      <c r="Q14" s="615">
        <v>0.13300000000000001</v>
      </c>
      <c r="R14" s="615">
        <v>0.107605868942004</v>
      </c>
      <c r="S14" s="576">
        <v>66.124991174022895</v>
      </c>
    </row>
    <row r="15" spans="1:19" ht="25.5" x14ac:dyDescent="0.25">
      <c r="A15" s="578">
        <v>7.2</v>
      </c>
      <c r="B15" s="579" t="s">
        <v>756</v>
      </c>
      <c r="C15" s="576">
        <f t="shared" si="0"/>
        <v>79100.320000000007</v>
      </c>
      <c r="D15" s="576">
        <v>79100.320000000007</v>
      </c>
      <c r="E15" s="576">
        <v>0</v>
      </c>
      <c r="F15" s="576">
        <v>0</v>
      </c>
      <c r="G15" s="576">
        <v>0</v>
      </c>
      <c r="H15" s="576">
        <v>0</v>
      </c>
      <c r="I15" s="576">
        <f t="shared" si="1"/>
        <v>1582.01</v>
      </c>
      <c r="J15" s="576">
        <v>1582.01</v>
      </c>
      <c r="K15" s="576">
        <v>0</v>
      </c>
      <c r="L15" s="576">
        <v>0</v>
      </c>
      <c r="M15" s="576">
        <v>0</v>
      </c>
      <c r="N15" s="576">
        <v>0</v>
      </c>
      <c r="O15" s="576">
        <v>2</v>
      </c>
      <c r="P15" s="615">
        <v>0</v>
      </c>
      <c r="Q15" s="615">
        <v>0</v>
      </c>
      <c r="R15" s="615">
        <v>0.131918567459651</v>
      </c>
      <c r="S15" s="576">
        <v>96.895438096836997</v>
      </c>
    </row>
    <row r="16" spans="1:19" x14ac:dyDescent="0.25">
      <c r="A16" s="578">
        <v>7.3</v>
      </c>
      <c r="B16" s="579" t="s">
        <v>757</v>
      </c>
      <c r="C16" s="576">
        <f t="shared" si="0"/>
        <v>130166.63</v>
      </c>
      <c r="D16" s="576">
        <v>129442.72</v>
      </c>
      <c r="E16" s="576">
        <v>0</v>
      </c>
      <c r="F16" s="576">
        <v>0</v>
      </c>
      <c r="G16" s="576">
        <v>723.91</v>
      </c>
      <c r="H16" s="576">
        <v>0</v>
      </c>
      <c r="I16" s="576">
        <f t="shared" si="1"/>
        <v>2950.82</v>
      </c>
      <c r="J16" s="576">
        <v>2588.86</v>
      </c>
      <c r="K16" s="576">
        <v>0</v>
      </c>
      <c r="L16" s="576">
        <v>0</v>
      </c>
      <c r="M16" s="576">
        <v>361.96</v>
      </c>
      <c r="N16" s="576">
        <v>0</v>
      </c>
      <c r="O16" s="576">
        <v>4</v>
      </c>
      <c r="P16" s="615">
        <v>0</v>
      </c>
      <c r="Q16" s="615">
        <v>0</v>
      </c>
      <c r="R16" s="615">
        <v>0.12667528347673701</v>
      </c>
      <c r="S16" s="576">
        <v>60.5009550865432</v>
      </c>
    </row>
    <row r="17" spans="1:19" x14ac:dyDescent="0.25">
      <c r="A17" s="574">
        <v>8</v>
      </c>
      <c r="B17" s="577" t="s">
        <v>758</v>
      </c>
      <c r="C17" s="576">
        <f t="shared" si="0"/>
        <v>0</v>
      </c>
      <c r="D17" s="576">
        <v>0</v>
      </c>
      <c r="E17" s="576">
        <v>0</v>
      </c>
      <c r="F17" s="576">
        <v>0</v>
      </c>
      <c r="G17" s="576">
        <v>0</v>
      </c>
      <c r="H17" s="576">
        <v>0</v>
      </c>
      <c r="I17" s="576">
        <f t="shared" si="1"/>
        <v>0</v>
      </c>
      <c r="J17" s="576">
        <v>0</v>
      </c>
      <c r="K17" s="576">
        <v>0</v>
      </c>
      <c r="L17" s="576">
        <v>0</v>
      </c>
      <c r="M17" s="576">
        <v>0</v>
      </c>
      <c r="N17" s="576">
        <v>0</v>
      </c>
      <c r="O17" s="576">
        <v>0</v>
      </c>
      <c r="P17" s="615">
        <v>0</v>
      </c>
      <c r="Q17" s="615">
        <v>0</v>
      </c>
      <c r="R17" s="615">
        <v>0</v>
      </c>
      <c r="S17" s="576">
        <v>0</v>
      </c>
    </row>
    <row r="18" spans="1:19" x14ac:dyDescent="0.25">
      <c r="A18" s="580">
        <v>9</v>
      </c>
      <c r="B18" s="581" t="s">
        <v>759</v>
      </c>
      <c r="C18" s="582">
        <f t="shared" si="0"/>
        <v>0</v>
      </c>
      <c r="D18" s="582">
        <v>0</v>
      </c>
      <c r="E18" s="582">
        <v>0</v>
      </c>
      <c r="F18" s="582">
        <v>0</v>
      </c>
      <c r="G18" s="582">
        <v>0</v>
      </c>
      <c r="H18" s="582">
        <v>0</v>
      </c>
      <c r="I18" s="582">
        <f t="shared" si="1"/>
        <v>0</v>
      </c>
      <c r="J18" s="582">
        <v>0</v>
      </c>
      <c r="K18" s="582">
        <v>0</v>
      </c>
      <c r="L18" s="582">
        <v>0</v>
      </c>
      <c r="M18" s="582">
        <v>0</v>
      </c>
      <c r="N18" s="582">
        <v>0</v>
      </c>
      <c r="O18" s="582">
        <v>0</v>
      </c>
      <c r="P18" s="616">
        <v>0</v>
      </c>
      <c r="Q18" s="616">
        <v>0</v>
      </c>
      <c r="R18" s="616">
        <v>0</v>
      </c>
      <c r="S18" s="582">
        <v>0</v>
      </c>
    </row>
    <row r="19" spans="1:19" x14ac:dyDescent="0.25">
      <c r="A19" s="574">
        <v>10</v>
      </c>
      <c r="B19" s="583" t="s">
        <v>760</v>
      </c>
      <c r="C19" s="576">
        <f t="shared" si="0"/>
        <v>5697699.4100000001</v>
      </c>
      <c r="D19" s="576">
        <v>5358968.1999999993</v>
      </c>
      <c r="E19" s="576">
        <v>41536.44</v>
      </c>
      <c r="F19" s="576">
        <v>172159.44</v>
      </c>
      <c r="G19" s="576">
        <v>51558.140000000007</v>
      </c>
      <c r="H19" s="576">
        <v>73477.19</v>
      </c>
      <c r="I19" s="576">
        <f t="shared" si="1"/>
        <v>262237.29000000004</v>
      </c>
      <c r="J19" s="576">
        <v>107179.49</v>
      </c>
      <c r="K19" s="576">
        <v>4153.6400000000003</v>
      </c>
      <c r="L19" s="576">
        <v>51647.839999999997</v>
      </c>
      <c r="M19" s="576">
        <v>25779.129999999997</v>
      </c>
      <c r="N19" s="576">
        <v>73477.19</v>
      </c>
      <c r="O19" s="576">
        <v>834</v>
      </c>
      <c r="P19" s="615">
        <v>0.138551845785679</v>
      </c>
      <c r="Q19" s="615">
        <v>0.16061015815294599</v>
      </c>
      <c r="R19" s="615">
        <v>0.135991326695246</v>
      </c>
      <c r="S19" s="576">
        <v>51.665965960509403</v>
      </c>
    </row>
    <row r="20" spans="1:19" ht="25.5" x14ac:dyDescent="0.25">
      <c r="A20" s="578">
        <v>10.1</v>
      </c>
      <c r="B20" s="579" t="s">
        <v>761</v>
      </c>
      <c r="C20" s="576">
        <v>0</v>
      </c>
      <c r="D20" s="576">
        <v>0</v>
      </c>
      <c r="E20" s="576">
        <v>0</v>
      </c>
      <c r="F20" s="576">
        <v>0</v>
      </c>
      <c r="G20" s="576">
        <v>0</v>
      </c>
      <c r="H20" s="576">
        <v>0</v>
      </c>
      <c r="I20" s="576"/>
      <c r="J20" s="576"/>
      <c r="K20" s="576"/>
      <c r="L20" s="576"/>
      <c r="M20" s="576"/>
      <c r="N20" s="576"/>
      <c r="O20" s="576"/>
      <c r="P20" s="615"/>
      <c r="Q20" s="615"/>
      <c r="R20" s="615"/>
      <c r="S20" s="576"/>
    </row>
  </sheetData>
  <mergeCells count="8">
    <mergeCell ref="R5:R6"/>
    <mergeCell ref="S5:S6"/>
    <mergeCell ref="A5:B6"/>
    <mergeCell ref="C5:H5"/>
    <mergeCell ref="I5:N5"/>
    <mergeCell ref="O5:O6"/>
    <mergeCell ref="P5:P6"/>
    <mergeCell ref="Q5:Q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FA1A-7D42-4D20-A615-787D5A201121}">
  <dimension ref="A1:Q44"/>
  <sheetViews>
    <sheetView zoomScale="85" zoomScaleNormal="85" workbookViewId="0">
      <pane xSplit="1" ySplit="5" topLeftCell="B9" activePane="bottomRight" state="frozen"/>
      <selection activeCell="B3" sqref="B3"/>
      <selection pane="topRight" activeCell="B3" sqref="B3"/>
      <selection pane="bottomLeft" activeCell="B3" sqref="B3"/>
      <selection pane="bottomRight" activeCell="C7" sqref="C7:H41"/>
    </sheetView>
  </sheetViews>
  <sheetFormatPr defaultRowHeight="15" x14ac:dyDescent="0.25"/>
  <cols>
    <col min="1" max="1" width="9.5703125" style="17" bestFit="1" customWidth="1"/>
    <col min="2" max="2" width="55.140625" style="17" bestFit="1" customWidth="1"/>
    <col min="3" max="3" width="11.7109375" style="17" customWidth="1"/>
    <col min="4" max="4" width="13.28515625" style="17" customWidth="1"/>
    <col min="5" max="5" width="14.5703125" style="17" customWidth="1"/>
    <col min="6" max="6" width="11.7109375" style="17" customWidth="1"/>
    <col min="7" max="7" width="13.7109375" style="17" customWidth="1"/>
    <col min="8" max="8" width="14.5703125" style="17" customWidth="1"/>
    <col min="9" max="9" width="11.7109375" bestFit="1" customWidth="1"/>
    <col min="11" max="11" width="15" bestFit="1" customWidth="1"/>
    <col min="12" max="12" width="14.28515625" bestFit="1" customWidth="1"/>
    <col min="13" max="13" width="15" bestFit="1" customWidth="1"/>
  </cols>
  <sheetData>
    <row r="1" spans="1:17" ht="15.75" x14ac:dyDescent="0.3">
      <c r="A1" s="18" t="s">
        <v>30</v>
      </c>
      <c r="B1" s="61" t="s">
        <v>2</v>
      </c>
    </row>
    <row r="2" spans="1:17" ht="15.75" x14ac:dyDescent="0.3">
      <c r="A2" s="18" t="s">
        <v>31</v>
      </c>
      <c r="B2" s="62">
        <v>44742</v>
      </c>
    </row>
    <row r="3" spans="1:17" ht="15.75" x14ac:dyDescent="0.3">
      <c r="A3" s="18"/>
    </row>
    <row r="4" spans="1:17" ht="16.5" thickBot="1" x14ac:dyDescent="0.35">
      <c r="A4" s="60" t="s">
        <v>76</v>
      </c>
      <c r="B4" s="63" t="s">
        <v>77</v>
      </c>
      <c r="C4" s="60"/>
      <c r="D4" s="64"/>
      <c r="E4" s="64"/>
      <c r="F4" s="65"/>
      <c r="G4" s="65"/>
      <c r="H4" s="66" t="s">
        <v>78</v>
      </c>
    </row>
    <row r="5" spans="1:17" ht="15.75" x14ac:dyDescent="0.3">
      <c r="A5" s="67"/>
      <c r="B5" s="68"/>
      <c r="C5" s="633" t="s">
        <v>79</v>
      </c>
      <c r="D5" s="634"/>
      <c r="E5" s="635"/>
      <c r="F5" s="633" t="s">
        <v>80</v>
      </c>
      <c r="G5" s="634"/>
      <c r="H5" s="636"/>
    </row>
    <row r="6" spans="1:17" ht="15.75" x14ac:dyDescent="0.3">
      <c r="A6" s="69" t="s">
        <v>33</v>
      </c>
      <c r="B6" s="70" t="s">
        <v>81</v>
      </c>
      <c r="C6" s="71" t="s">
        <v>82</v>
      </c>
      <c r="D6" s="71" t="s">
        <v>83</v>
      </c>
      <c r="E6" s="71" t="s">
        <v>84</v>
      </c>
      <c r="F6" s="71" t="s">
        <v>82</v>
      </c>
      <c r="G6" s="71" t="s">
        <v>83</v>
      </c>
      <c r="H6" s="72" t="s">
        <v>84</v>
      </c>
    </row>
    <row r="7" spans="1:17" ht="15.75" x14ac:dyDescent="0.3">
      <c r="A7" s="69">
        <v>1</v>
      </c>
      <c r="B7" s="73" t="s">
        <v>85</v>
      </c>
      <c r="C7" s="74">
        <v>798980.38</v>
      </c>
      <c r="D7" s="74">
        <v>781777.98</v>
      </c>
      <c r="E7" s="75">
        <f>C7+D7</f>
        <v>1580758.3599999999</v>
      </c>
      <c r="F7" s="74">
        <v>635465.48</v>
      </c>
      <c r="G7" s="74">
        <v>1030674.44</v>
      </c>
      <c r="H7" s="75">
        <v>1666139.92</v>
      </c>
      <c r="K7" s="76"/>
      <c r="L7" s="76"/>
      <c r="M7" s="76"/>
      <c r="O7" s="77"/>
      <c r="P7" s="77"/>
      <c r="Q7" s="77"/>
    </row>
    <row r="8" spans="1:17" ht="15.75" x14ac:dyDescent="0.3">
      <c r="A8" s="69">
        <v>2</v>
      </c>
      <c r="B8" s="73" t="s">
        <v>86</v>
      </c>
      <c r="C8" s="74">
        <v>383568.19</v>
      </c>
      <c r="D8" s="74">
        <v>1501517.1900000002</v>
      </c>
      <c r="E8" s="75">
        <f t="shared" ref="E8:E20" si="0">C8+D8</f>
        <v>1885085.3800000001</v>
      </c>
      <c r="F8" s="74">
        <v>6744844.9699999997</v>
      </c>
      <c r="G8" s="74">
        <v>2831507.43</v>
      </c>
      <c r="H8" s="75">
        <v>9576352.4000000004</v>
      </c>
      <c r="K8" s="76"/>
      <c r="L8" s="76"/>
      <c r="M8" s="76"/>
      <c r="O8" s="77"/>
      <c r="P8" s="77"/>
      <c r="Q8" s="77"/>
    </row>
    <row r="9" spans="1:17" ht="15.75" x14ac:dyDescent="0.3">
      <c r="A9" s="69">
        <v>3</v>
      </c>
      <c r="B9" s="73" t="s">
        <v>87</v>
      </c>
      <c r="C9" s="74">
        <v>218319.1</v>
      </c>
      <c r="D9" s="74">
        <v>519766.88999999996</v>
      </c>
      <c r="E9" s="75">
        <f t="shared" si="0"/>
        <v>738085.99</v>
      </c>
      <c r="F9" s="74">
        <v>243589.15</v>
      </c>
      <c r="G9" s="74">
        <v>11819388.9</v>
      </c>
      <c r="H9" s="75">
        <v>12062978.050000001</v>
      </c>
      <c r="K9" s="76"/>
      <c r="L9" s="76"/>
      <c r="M9" s="76"/>
      <c r="O9" s="77"/>
      <c r="P9" s="77"/>
      <c r="Q9" s="77"/>
    </row>
    <row r="10" spans="1:17" ht="15.75" x14ac:dyDescent="0.3">
      <c r="A10" s="69">
        <v>4</v>
      </c>
      <c r="B10" s="73" t="s">
        <v>88</v>
      </c>
      <c r="C10" s="74">
        <v>0</v>
      </c>
      <c r="D10" s="74">
        <v>0</v>
      </c>
      <c r="E10" s="75">
        <f t="shared" si="0"/>
        <v>0</v>
      </c>
      <c r="F10" s="74">
        <v>0</v>
      </c>
      <c r="G10" s="74">
        <v>0</v>
      </c>
      <c r="H10" s="75">
        <v>0</v>
      </c>
      <c r="K10" s="76"/>
      <c r="L10" s="76"/>
      <c r="M10" s="76"/>
      <c r="O10" s="77"/>
      <c r="P10" s="77"/>
      <c r="Q10" s="77"/>
    </row>
    <row r="11" spans="1:17" ht="15.75" x14ac:dyDescent="0.3">
      <c r="A11" s="69">
        <v>5</v>
      </c>
      <c r="B11" s="73" t="s">
        <v>89</v>
      </c>
      <c r="C11" s="74">
        <v>33776423.810000002</v>
      </c>
      <c r="D11" s="74">
        <v>0</v>
      </c>
      <c r="E11" s="75">
        <f t="shared" si="0"/>
        <v>33776423.810000002</v>
      </c>
      <c r="F11" s="74">
        <v>39931437.770000003</v>
      </c>
      <c r="G11" s="74">
        <v>0</v>
      </c>
      <c r="H11" s="75">
        <v>39931437.770000003</v>
      </c>
      <c r="K11" s="76"/>
      <c r="L11" s="76"/>
      <c r="M11" s="76"/>
      <c r="O11" s="77"/>
      <c r="P11" s="77"/>
      <c r="Q11" s="77"/>
    </row>
    <row r="12" spans="1:17" ht="15.75" x14ac:dyDescent="0.3">
      <c r="A12" s="69">
        <v>6.1</v>
      </c>
      <c r="B12" s="78" t="s">
        <v>90</v>
      </c>
      <c r="C12" s="74">
        <v>13017373.68</v>
      </c>
      <c r="D12" s="74">
        <v>3171866.81</v>
      </c>
      <c r="E12" s="75">
        <f t="shared" si="0"/>
        <v>16189240.49</v>
      </c>
      <c r="F12" s="74">
        <v>8518852.9000000004</v>
      </c>
      <c r="G12" s="74">
        <v>3888920.99</v>
      </c>
      <c r="H12" s="75">
        <v>12407773.890000001</v>
      </c>
      <c r="K12" s="76"/>
      <c r="L12" s="76"/>
      <c r="M12" s="76"/>
      <c r="O12" s="77"/>
      <c r="P12" s="77"/>
      <c r="Q12" s="77"/>
    </row>
    <row r="13" spans="1:17" ht="15.75" x14ac:dyDescent="0.3">
      <c r="A13" s="69">
        <v>6.2</v>
      </c>
      <c r="B13" s="78" t="s">
        <v>91</v>
      </c>
      <c r="C13" s="74">
        <v>-672104.47</v>
      </c>
      <c r="D13" s="74">
        <v>-378310.42</v>
      </c>
      <c r="E13" s="75">
        <f t="shared" si="0"/>
        <v>-1050414.8899999999</v>
      </c>
      <c r="F13" s="74">
        <v>-743871.54468469997</v>
      </c>
      <c r="G13" s="74">
        <v>-627119.17928931001</v>
      </c>
      <c r="H13" s="75">
        <v>-1370990.72397401</v>
      </c>
      <c r="K13" s="76"/>
      <c r="L13" s="76"/>
      <c r="M13" s="76"/>
      <c r="O13" s="77"/>
      <c r="P13" s="77"/>
      <c r="Q13" s="77"/>
    </row>
    <row r="14" spans="1:17" ht="15.75" x14ac:dyDescent="0.3">
      <c r="A14" s="69">
        <v>6</v>
      </c>
      <c r="B14" s="73" t="s">
        <v>92</v>
      </c>
      <c r="C14" s="75">
        <f>C12+C13</f>
        <v>12345269.209999999</v>
      </c>
      <c r="D14" s="75">
        <f>D12+D13</f>
        <v>2793556.39</v>
      </c>
      <c r="E14" s="75">
        <f>E12+E13</f>
        <v>15138825.6</v>
      </c>
      <c r="F14" s="75">
        <v>7774981.3553153006</v>
      </c>
      <c r="G14" s="75">
        <v>3261801.81071069</v>
      </c>
      <c r="H14" s="75">
        <v>11036783.166025991</v>
      </c>
      <c r="K14" s="76"/>
      <c r="L14" s="76"/>
      <c r="M14" s="76"/>
      <c r="O14" s="77"/>
      <c r="P14" s="77"/>
      <c r="Q14" s="77"/>
    </row>
    <row r="15" spans="1:17" ht="15.75" x14ac:dyDescent="0.3">
      <c r="A15" s="69">
        <v>7</v>
      </c>
      <c r="B15" s="73" t="s">
        <v>93</v>
      </c>
      <c r="C15" s="74">
        <v>1098673.95</v>
      </c>
      <c r="D15" s="74">
        <v>12319.449999999999</v>
      </c>
      <c r="E15" s="75">
        <f t="shared" si="0"/>
        <v>1110993.3999999999</v>
      </c>
      <c r="F15" s="74">
        <v>1197661.8</v>
      </c>
      <c r="G15" s="74">
        <v>20453.899999999998</v>
      </c>
      <c r="H15" s="75">
        <v>1218115.7</v>
      </c>
      <c r="K15" s="76"/>
      <c r="L15" s="76"/>
      <c r="M15" s="76"/>
      <c r="O15" s="77"/>
      <c r="P15" s="77"/>
      <c r="Q15" s="77"/>
    </row>
    <row r="16" spans="1:17" ht="15.75" x14ac:dyDescent="0.3">
      <c r="A16" s="69">
        <v>8</v>
      </c>
      <c r="B16" s="73" t="s">
        <v>94</v>
      </c>
      <c r="C16" s="74">
        <v>256968.93</v>
      </c>
      <c r="D16" s="74">
        <v>0</v>
      </c>
      <c r="E16" s="75">
        <f t="shared" si="0"/>
        <v>256968.93</v>
      </c>
      <c r="F16" s="74">
        <v>280730.19</v>
      </c>
      <c r="G16" s="74">
        <v>0</v>
      </c>
      <c r="H16" s="75">
        <v>280730.19</v>
      </c>
      <c r="K16" s="76"/>
      <c r="L16" s="76"/>
      <c r="M16" s="76"/>
      <c r="O16" s="77"/>
      <c r="P16" s="77"/>
      <c r="Q16" s="77"/>
    </row>
    <row r="17" spans="1:17" ht="15.75" x14ac:dyDescent="0.3">
      <c r="A17" s="69">
        <v>9</v>
      </c>
      <c r="B17" s="73" t="s">
        <v>95</v>
      </c>
      <c r="C17" s="74">
        <v>20000</v>
      </c>
      <c r="D17" s="74">
        <v>0</v>
      </c>
      <c r="E17" s="75">
        <f t="shared" si="0"/>
        <v>20000</v>
      </c>
      <c r="F17" s="74">
        <v>20000</v>
      </c>
      <c r="G17" s="74">
        <v>0</v>
      </c>
      <c r="H17" s="75">
        <v>20000</v>
      </c>
      <c r="K17" s="76"/>
      <c r="L17" s="76"/>
      <c r="M17" s="76"/>
      <c r="O17" s="77"/>
      <c r="P17" s="77"/>
      <c r="Q17" s="77"/>
    </row>
    <row r="18" spans="1:17" ht="15.75" x14ac:dyDescent="0.3">
      <c r="A18" s="69">
        <v>10</v>
      </c>
      <c r="B18" s="73" t="s">
        <v>96</v>
      </c>
      <c r="C18" s="74">
        <v>16337553.759999994</v>
      </c>
      <c r="D18" s="74">
        <v>0</v>
      </c>
      <c r="E18" s="75">
        <f t="shared" si="0"/>
        <v>16337553.759999994</v>
      </c>
      <c r="F18" s="74">
        <v>15120328.160000002</v>
      </c>
      <c r="G18" s="74">
        <v>0</v>
      </c>
      <c r="H18" s="75">
        <v>15120328.160000002</v>
      </c>
      <c r="K18" s="76"/>
      <c r="L18" s="76"/>
      <c r="M18" s="76"/>
      <c r="O18" s="77"/>
      <c r="P18" s="77"/>
      <c r="Q18" s="77"/>
    </row>
    <row r="19" spans="1:17" ht="15.75" x14ac:dyDescent="0.3">
      <c r="A19" s="69">
        <v>11</v>
      </c>
      <c r="B19" s="73" t="s">
        <v>97</v>
      </c>
      <c r="C19" s="74">
        <v>3667103.46</v>
      </c>
      <c r="D19" s="74">
        <v>1700.75</v>
      </c>
      <c r="E19" s="75">
        <f t="shared" si="0"/>
        <v>3668804.21</v>
      </c>
      <c r="F19" s="74">
        <v>5671355.0699999994</v>
      </c>
      <c r="G19" s="74">
        <v>338269.68999999994</v>
      </c>
      <c r="H19" s="75">
        <v>6009624.7599999998</v>
      </c>
      <c r="K19" s="76"/>
      <c r="L19" s="76"/>
      <c r="M19" s="76"/>
      <c r="O19" s="77"/>
      <c r="P19" s="77"/>
      <c r="Q19" s="77"/>
    </row>
    <row r="20" spans="1:17" ht="15.75" x14ac:dyDescent="0.3">
      <c r="A20" s="69">
        <v>12</v>
      </c>
      <c r="B20" s="79" t="s">
        <v>98</v>
      </c>
      <c r="C20" s="75">
        <f>SUM(C7:C11)+SUM(C14:C19)</f>
        <v>68902860.789999992</v>
      </c>
      <c r="D20" s="75">
        <f>SUM(D7:D11)+SUM(D14:D19)</f>
        <v>5610638.6500000004</v>
      </c>
      <c r="E20" s="75">
        <f t="shared" si="0"/>
        <v>74513499.439999998</v>
      </c>
      <c r="F20" s="75">
        <v>77620393.945315301</v>
      </c>
      <c r="G20" s="75">
        <v>19302096.17071069</v>
      </c>
      <c r="H20" s="75">
        <v>96922490.116025984</v>
      </c>
      <c r="K20" s="76"/>
      <c r="L20" s="76"/>
      <c r="M20" s="76"/>
      <c r="O20" s="77"/>
      <c r="P20" s="77"/>
      <c r="Q20" s="77"/>
    </row>
    <row r="21" spans="1:17" ht="15.75" x14ac:dyDescent="0.3">
      <c r="A21" s="69"/>
      <c r="B21" s="70" t="s">
        <v>99</v>
      </c>
      <c r="C21" s="80"/>
      <c r="D21" s="80"/>
      <c r="E21" s="80"/>
      <c r="F21" s="80"/>
      <c r="G21" s="80"/>
      <c r="H21" s="80"/>
      <c r="K21" s="76"/>
      <c r="L21" s="76"/>
      <c r="M21" s="76"/>
      <c r="O21" s="77"/>
      <c r="P21" s="77"/>
      <c r="Q21" s="77"/>
    </row>
    <row r="22" spans="1:17" ht="15.75" x14ac:dyDescent="0.3">
      <c r="A22" s="69">
        <v>13</v>
      </c>
      <c r="B22" s="73" t="s">
        <v>100</v>
      </c>
      <c r="C22" s="74">
        <v>0</v>
      </c>
      <c r="D22" s="74">
        <v>0</v>
      </c>
      <c r="E22" s="75">
        <f>C22+D22</f>
        <v>0</v>
      </c>
      <c r="F22" s="74">
        <v>0</v>
      </c>
      <c r="G22" s="74">
        <v>0</v>
      </c>
      <c r="H22" s="75">
        <v>0</v>
      </c>
      <c r="K22" s="76"/>
      <c r="L22" s="76"/>
      <c r="M22" s="76"/>
      <c r="O22" s="77"/>
      <c r="P22" s="77"/>
      <c r="Q22" s="77"/>
    </row>
    <row r="23" spans="1:17" ht="15.75" x14ac:dyDescent="0.3">
      <c r="A23" s="69">
        <v>14</v>
      </c>
      <c r="B23" s="73" t="s">
        <v>101</v>
      </c>
      <c r="C23" s="74">
        <v>3116930.17</v>
      </c>
      <c r="D23" s="74">
        <v>1877063.83</v>
      </c>
      <c r="E23" s="75">
        <f t="shared" ref="E23:E40" si="1">C23+D23</f>
        <v>4993994</v>
      </c>
      <c r="F23" s="74">
        <v>2697688.5700000003</v>
      </c>
      <c r="G23" s="74">
        <v>4115636.71</v>
      </c>
      <c r="H23" s="75">
        <v>6813325.2800000003</v>
      </c>
      <c r="K23" s="76"/>
      <c r="L23" s="76"/>
      <c r="M23" s="76"/>
      <c r="O23" s="77"/>
      <c r="P23" s="77"/>
      <c r="Q23" s="77"/>
    </row>
    <row r="24" spans="1:17" ht="15.75" x14ac:dyDescent="0.3">
      <c r="A24" s="69">
        <v>15</v>
      </c>
      <c r="B24" s="73" t="s">
        <v>102</v>
      </c>
      <c r="C24" s="74">
        <v>993707.71</v>
      </c>
      <c r="D24" s="74">
        <v>300372.10000000003</v>
      </c>
      <c r="E24" s="75">
        <f t="shared" si="1"/>
        <v>1294079.81</v>
      </c>
      <c r="F24" s="74">
        <v>752346.39999999991</v>
      </c>
      <c r="G24" s="74">
        <v>282117.05000000005</v>
      </c>
      <c r="H24" s="75">
        <v>1034463.45</v>
      </c>
      <c r="K24" s="76"/>
      <c r="L24" s="76"/>
      <c r="M24" s="76"/>
      <c r="O24" s="77"/>
      <c r="P24" s="77"/>
      <c r="Q24" s="77"/>
    </row>
    <row r="25" spans="1:17" ht="15.75" x14ac:dyDescent="0.3">
      <c r="A25" s="69">
        <v>16</v>
      </c>
      <c r="B25" s="73" t="s">
        <v>103</v>
      </c>
      <c r="C25" s="74">
        <v>1997370</v>
      </c>
      <c r="D25" s="74">
        <v>137889.21000000002</v>
      </c>
      <c r="E25" s="75">
        <f t="shared" si="1"/>
        <v>2135259.21</v>
      </c>
      <c r="F25" s="74">
        <v>1996100</v>
      </c>
      <c r="G25" s="74">
        <v>213791.24000000002</v>
      </c>
      <c r="H25" s="75">
        <v>2209891.2400000002</v>
      </c>
      <c r="K25" s="76"/>
      <c r="L25" s="76"/>
      <c r="M25" s="76"/>
      <c r="O25" s="77"/>
      <c r="P25" s="77"/>
      <c r="Q25" s="77"/>
    </row>
    <row r="26" spans="1:17" ht="15.75" x14ac:dyDescent="0.3">
      <c r="A26" s="69">
        <v>17</v>
      </c>
      <c r="B26" s="73" t="s">
        <v>104</v>
      </c>
      <c r="C26" s="74">
        <v>0</v>
      </c>
      <c r="D26" s="74">
        <v>0</v>
      </c>
      <c r="E26" s="75">
        <f t="shared" si="1"/>
        <v>0</v>
      </c>
      <c r="F26" s="80"/>
      <c r="G26" s="80"/>
      <c r="H26" s="75">
        <v>0</v>
      </c>
      <c r="K26" s="76"/>
      <c r="L26" s="76"/>
      <c r="M26" s="76"/>
      <c r="O26" s="77"/>
      <c r="P26" s="77"/>
      <c r="Q26" s="77"/>
    </row>
    <row r="27" spans="1:17" ht="15.75" x14ac:dyDescent="0.3">
      <c r="A27" s="69">
        <v>18</v>
      </c>
      <c r="B27" s="73" t="s">
        <v>105</v>
      </c>
      <c r="C27" s="74">
        <v>7500000</v>
      </c>
      <c r="D27" s="74">
        <v>0</v>
      </c>
      <c r="E27" s="75">
        <f t="shared" si="1"/>
        <v>7500000</v>
      </c>
      <c r="F27" s="74">
        <v>28777506.109999999</v>
      </c>
      <c r="G27" s="74">
        <v>0</v>
      </c>
      <c r="H27" s="75">
        <v>28777506.109999999</v>
      </c>
      <c r="K27" s="76"/>
      <c r="L27" s="76"/>
      <c r="M27" s="76"/>
      <c r="O27" s="77"/>
      <c r="P27" s="77"/>
      <c r="Q27" s="77"/>
    </row>
    <row r="28" spans="1:17" ht="15.75" x14ac:dyDescent="0.3">
      <c r="A28" s="69">
        <v>19</v>
      </c>
      <c r="B28" s="73" t="s">
        <v>106</v>
      </c>
      <c r="C28" s="74">
        <v>318217.51</v>
      </c>
      <c r="D28" s="74">
        <v>7672.45</v>
      </c>
      <c r="E28" s="75">
        <f t="shared" si="1"/>
        <v>325889.96000000002</v>
      </c>
      <c r="F28" s="74">
        <v>160759.16</v>
      </c>
      <c r="G28" s="74">
        <v>7488.16</v>
      </c>
      <c r="H28" s="75">
        <v>168247.32</v>
      </c>
      <c r="K28" s="76"/>
      <c r="L28" s="76"/>
      <c r="M28" s="76"/>
      <c r="O28" s="77"/>
      <c r="P28" s="77"/>
      <c r="Q28" s="77"/>
    </row>
    <row r="29" spans="1:17" ht="15.75" x14ac:dyDescent="0.3">
      <c r="A29" s="69">
        <v>20</v>
      </c>
      <c r="B29" s="73" t="s">
        <v>107</v>
      </c>
      <c r="C29" s="74">
        <v>2430519.89</v>
      </c>
      <c r="D29" s="74">
        <v>1397197.8800000001</v>
      </c>
      <c r="E29" s="75">
        <f t="shared" si="1"/>
        <v>3827717.7700000005</v>
      </c>
      <c r="F29" s="74">
        <v>1790029.4200000002</v>
      </c>
      <c r="G29" s="74">
        <v>1875729.27</v>
      </c>
      <c r="H29" s="75">
        <v>3665758.6900000004</v>
      </c>
      <c r="K29" s="76"/>
      <c r="L29" s="76"/>
      <c r="M29" s="76"/>
      <c r="O29" s="77"/>
      <c r="P29" s="77"/>
      <c r="Q29" s="77"/>
    </row>
    <row r="30" spans="1:17" ht="15.75" x14ac:dyDescent="0.3">
      <c r="A30" s="69">
        <v>21</v>
      </c>
      <c r="B30" s="73" t="s">
        <v>108</v>
      </c>
      <c r="C30" s="74">
        <v>2500000</v>
      </c>
      <c r="D30" s="74">
        <v>0</v>
      </c>
      <c r="E30" s="75">
        <f t="shared" si="1"/>
        <v>2500000</v>
      </c>
      <c r="F30" s="74">
        <v>0</v>
      </c>
      <c r="G30" s="74">
        <v>0</v>
      </c>
      <c r="H30" s="75">
        <v>0</v>
      </c>
      <c r="K30" s="76"/>
      <c r="L30" s="76"/>
      <c r="M30" s="76"/>
      <c r="O30" s="77"/>
      <c r="P30" s="77"/>
      <c r="Q30" s="77"/>
    </row>
    <row r="31" spans="1:17" ht="15.75" x14ac:dyDescent="0.3">
      <c r="A31" s="69">
        <v>22</v>
      </c>
      <c r="B31" s="79" t="s">
        <v>109</v>
      </c>
      <c r="C31" s="75">
        <f>SUM(C22:C30)</f>
        <v>18856745.280000001</v>
      </c>
      <c r="D31" s="75">
        <f>SUM(D22:D30)</f>
        <v>3720195.4700000007</v>
      </c>
      <c r="E31" s="75">
        <f>C31+D31</f>
        <v>22576940.75</v>
      </c>
      <c r="F31" s="75">
        <v>36174429.659999996</v>
      </c>
      <c r="G31" s="75">
        <v>6494762.4299999997</v>
      </c>
      <c r="H31" s="75">
        <v>42669192.089999996</v>
      </c>
      <c r="K31" s="76"/>
      <c r="L31" s="76"/>
      <c r="M31" s="76"/>
      <c r="O31" s="77"/>
      <c r="P31" s="77"/>
      <c r="Q31" s="77"/>
    </row>
    <row r="32" spans="1:17" ht="15.75" x14ac:dyDescent="0.3">
      <c r="A32" s="69"/>
      <c r="B32" s="70" t="s">
        <v>110</v>
      </c>
      <c r="C32" s="80"/>
      <c r="D32" s="80"/>
      <c r="E32" s="74"/>
      <c r="F32" s="80"/>
      <c r="G32" s="80"/>
      <c r="H32" s="74"/>
      <c r="K32" s="76"/>
      <c r="L32" s="76"/>
      <c r="M32" s="76"/>
      <c r="O32" s="77"/>
      <c r="P32" s="77"/>
      <c r="Q32" s="77"/>
    </row>
    <row r="33" spans="1:17" ht="15.75" x14ac:dyDescent="0.3">
      <c r="A33" s="69">
        <v>23</v>
      </c>
      <c r="B33" s="73" t="s">
        <v>111</v>
      </c>
      <c r="C33" s="74">
        <v>61146400</v>
      </c>
      <c r="D33" s="80">
        <v>0</v>
      </c>
      <c r="E33" s="75">
        <f t="shared" si="1"/>
        <v>61146400</v>
      </c>
      <c r="F33" s="74">
        <v>61146400</v>
      </c>
      <c r="G33" s="80">
        <v>0</v>
      </c>
      <c r="H33" s="75">
        <v>61146400</v>
      </c>
      <c r="K33" s="76"/>
      <c r="L33" s="76"/>
      <c r="M33" s="76"/>
      <c r="O33" s="77"/>
      <c r="P33" s="77"/>
      <c r="Q33" s="77"/>
    </row>
    <row r="34" spans="1:17" ht="15.75" x14ac:dyDescent="0.3">
      <c r="A34" s="69">
        <v>24</v>
      </c>
      <c r="B34" s="73" t="s">
        <v>112</v>
      </c>
      <c r="C34" s="74">
        <v>0</v>
      </c>
      <c r="D34" s="80">
        <v>0</v>
      </c>
      <c r="E34" s="75">
        <f t="shared" si="1"/>
        <v>0</v>
      </c>
      <c r="F34" s="74">
        <v>0</v>
      </c>
      <c r="G34" s="80">
        <v>0</v>
      </c>
      <c r="H34" s="75">
        <v>0</v>
      </c>
      <c r="K34" s="76"/>
      <c r="L34" s="76"/>
      <c r="M34" s="76"/>
      <c r="O34" s="77"/>
      <c r="P34" s="77"/>
      <c r="Q34" s="77"/>
    </row>
    <row r="35" spans="1:17" ht="15.75" x14ac:dyDescent="0.3">
      <c r="A35" s="69">
        <v>25</v>
      </c>
      <c r="B35" s="78" t="s">
        <v>113</v>
      </c>
      <c r="C35" s="74">
        <v>0</v>
      </c>
      <c r="D35" s="80">
        <v>0</v>
      </c>
      <c r="E35" s="75">
        <f t="shared" si="1"/>
        <v>0</v>
      </c>
      <c r="F35" s="74">
        <v>0</v>
      </c>
      <c r="G35" s="80">
        <v>0</v>
      </c>
      <c r="H35" s="75">
        <v>0</v>
      </c>
      <c r="K35" s="76"/>
      <c r="L35" s="76"/>
      <c r="M35" s="76"/>
      <c r="O35" s="77"/>
      <c r="P35" s="77"/>
      <c r="Q35" s="77"/>
    </row>
    <row r="36" spans="1:17" ht="15.75" x14ac:dyDescent="0.3">
      <c r="A36" s="69">
        <v>26</v>
      </c>
      <c r="B36" s="73" t="s">
        <v>114</v>
      </c>
      <c r="C36" s="74">
        <v>0</v>
      </c>
      <c r="D36" s="80">
        <v>0</v>
      </c>
      <c r="E36" s="75">
        <f t="shared" si="1"/>
        <v>0</v>
      </c>
      <c r="F36" s="74">
        <v>0</v>
      </c>
      <c r="G36" s="80">
        <v>0</v>
      </c>
      <c r="H36" s="75">
        <v>0</v>
      </c>
      <c r="K36" s="76"/>
      <c r="L36" s="76"/>
      <c r="M36" s="76"/>
      <c r="O36" s="77"/>
      <c r="P36" s="77"/>
      <c r="Q36" s="77"/>
    </row>
    <row r="37" spans="1:17" ht="15.75" x14ac:dyDescent="0.3">
      <c r="A37" s="69">
        <v>27</v>
      </c>
      <c r="B37" s="73" t="s">
        <v>115</v>
      </c>
      <c r="C37" s="74">
        <v>0</v>
      </c>
      <c r="D37" s="80">
        <v>0</v>
      </c>
      <c r="E37" s="75">
        <f t="shared" si="1"/>
        <v>0</v>
      </c>
      <c r="F37" s="74">
        <v>0</v>
      </c>
      <c r="G37" s="80">
        <v>0</v>
      </c>
      <c r="H37" s="75">
        <v>0</v>
      </c>
      <c r="K37" s="76"/>
      <c r="L37" s="76"/>
      <c r="M37" s="76"/>
      <c r="O37" s="77"/>
      <c r="P37" s="77"/>
      <c r="Q37" s="77"/>
    </row>
    <row r="38" spans="1:17" ht="15.75" x14ac:dyDescent="0.3">
      <c r="A38" s="69">
        <v>28</v>
      </c>
      <c r="B38" s="73" t="s">
        <v>116</v>
      </c>
      <c r="C38" s="74">
        <v>-13171169.060000001</v>
      </c>
      <c r="D38" s="80">
        <v>0</v>
      </c>
      <c r="E38" s="75">
        <f t="shared" si="1"/>
        <v>-13171169.060000001</v>
      </c>
      <c r="F38" s="74">
        <v>-11875534.790000001</v>
      </c>
      <c r="G38" s="80">
        <v>0</v>
      </c>
      <c r="H38" s="75">
        <v>-11875534.790000001</v>
      </c>
      <c r="K38" s="76"/>
      <c r="L38" s="76"/>
      <c r="M38" s="76"/>
      <c r="O38" s="77"/>
      <c r="P38" s="77"/>
      <c r="Q38" s="77"/>
    </row>
    <row r="39" spans="1:17" ht="15.75" x14ac:dyDescent="0.3">
      <c r="A39" s="69">
        <v>29</v>
      </c>
      <c r="B39" s="73" t="s">
        <v>117</v>
      </c>
      <c r="C39" s="74">
        <v>3961327.54</v>
      </c>
      <c r="D39" s="80">
        <v>0</v>
      </c>
      <c r="E39" s="75">
        <f t="shared" si="1"/>
        <v>3961327.54</v>
      </c>
      <c r="F39" s="74">
        <v>4982432.3</v>
      </c>
      <c r="G39" s="80">
        <v>0</v>
      </c>
      <c r="H39" s="75">
        <v>4982432.3</v>
      </c>
      <c r="K39" s="76"/>
      <c r="L39" s="76"/>
      <c r="M39" s="76"/>
      <c r="O39" s="77"/>
      <c r="P39" s="77"/>
      <c r="Q39" s="77"/>
    </row>
    <row r="40" spans="1:17" ht="15.75" x14ac:dyDescent="0.3">
      <c r="A40" s="69">
        <v>30</v>
      </c>
      <c r="B40" s="79" t="s">
        <v>118</v>
      </c>
      <c r="C40" s="74">
        <v>51936558.479999997</v>
      </c>
      <c r="D40" s="74">
        <f>SUM(D33:D39)</f>
        <v>0</v>
      </c>
      <c r="E40" s="75">
        <f t="shared" si="1"/>
        <v>51936558.479999997</v>
      </c>
      <c r="F40" s="74">
        <v>54253297.509999998</v>
      </c>
      <c r="G40" s="74">
        <v>0</v>
      </c>
      <c r="H40" s="75">
        <v>54253297.509999998</v>
      </c>
      <c r="K40" s="76"/>
      <c r="L40" s="76"/>
      <c r="M40" s="76"/>
      <c r="O40" s="77"/>
      <c r="P40" s="77"/>
      <c r="Q40" s="77"/>
    </row>
    <row r="41" spans="1:17" ht="16.5" thickBot="1" x14ac:dyDescent="0.35">
      <c r="A41" s="81">
        <v>31</v>
      </c>
      <c r="B41" s="82" t="s">
        <v>119</v>
      </c>
      <c r="C41" s="83">
        <f>C31+C40</f>
        <v>70793303.75999999</v>
      </c>
      <c r="D41" s="83">
        <f>D31+D40</f>
        <v>3720195.4700000007</v>
      </c>
      <c r="E41" s="83">
        <f>C41+D41</f>
        <v>74513499.229999989</v>
      </c>
      <c r="F41" s="83">
        <v>90427727.169999987</v>
      </c>
      <c r="G41" s="83">
        <v>6494762.4299999997</v>
      </c>
      <c r="H41" s="83">
        <v>96922489.599999994</v>
      </c>
      <c r="K41" s="76"/>
      <c r="L41" s="76"/>
      <c r="M41" s="76"/>
      <c r="O41" s="77"/>
      <c r="P41" s="77"/>
      <c r="Q41" s="77"/>
    </row>
    <row r="42" spans="1:17" x14ac:dyDescent="0.25">
      <c r="C42" s="84"/>
    </row>
    <row r="43" spans="1:17" x14ac:dyDescent="0.25">
      <c r="B43" s="85"/>
      <c r="E43" s="84"/>
      <c r="H43" s="86"/>
    </row>
    <row r="44" spans="1:17" x14ac:dyDescent="0.25">
      <c r="E44" s="84"/>
    </row>
  </sheetData>
  <mergeCells count="2">
    <mergeCell ref="C5:E5"/>
    <mergeCell ref="F5:H5"/>
  </mergeCells>
  <dataValidations count="1">
    <dataValidation type="whole" operator="lessThanOrEqual" allowBlank="1" showInputMessage="1" showErrorMessage="1" sqref="F13:G13" xr:uid="{C1776775-D9EC-4B78-8ACF-B9FE0C10F055}">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8EB9-0869-4C62-986E-5A74DC44517E}">
  <dimension ref="A1:Q67"/>
  <sheetViews>
    <sheetView zoomScale="80" zoomScaleNormal="80" workbookViewId="0">
      <pane xSplit="1" ySplit="6" topLeftCell="B7" activePane="bottomRight" state="frozen"/>
      <selection activeCell="B3" sqref="B3"/>
      <selection pane="topRight" activeCell="B3" sqref="B3"/>
      <selection pane="bottomLeft" activeCell="B3" sqref="B3"/>
      <selection pane="bottomRight" activeCell="C8" sqref="C8:H67"/>
    </sheetView>
  </sheetViews>
  <sheetFormatPr defaultColWidth="9.140625" defaultRowHeight="15" x14ac:dyDescent="0.25"/>
  <cols>
    <col min="1" max="1" width="9.5703125" style="17" bestFit="1" customWidth="1"/>
    <col min="2" max="2" width="89.140625" style="17" customWidth="1"/>
    <col min="3" max="3" width="15.7109375" style="17" customWidth="1"/>
    <col min="4" max="4" width="16" style="17" customWidth="1"/>
    <col min="5" max="5" width="15" style="17" customWidth="1"/>
    <col min="6" max="8" width="12.7109375" style="17" customWidth="1"/>
    <col min="9" max="9" width="8.85546875" customWidth="1"/>
    <col min="10" max="16384" width="9.140625" style="88"/>
  </cols>
  <sheetData>
    <row r="1" spans="1:17" ht="15.75" x14ac:dyDescent="0.3">
      <c r="A1" s="18" t="s">
        <v>30</v>
      </c>
      <c r="B1" s="87" t="s">
        <v>2</v>
      </c>
    </row>
    <row r="2" spans="1:17" ht="15.75" x14ac:dyDescent="0.3">
      <c r="A2" s="18" t="s">
        <v>31</v>
      </c>
      <c r="B2" s="21">
        <v>44742</v>
      </c>
    </row>
    <row r="3" spans="1:17" ht="15.75" x14ac:dyDescent="0.3">
      <c r="A3" s="18"/>
      <c r="B3" s="20"/>
    </row>
    <row r="4" spans="1:17" ht="16.5" thickBot="1" x14ac:dyDescent="0.35">
      <c r="A4" s="60" t="s">
        <v>120</v>
      </c>
      <c r="B4" s="89" t="s">
        <v>121</v>
      </c>
      <c r="C4" s="60"/>
      <c r="D4" s="60"/>
      <c r="E4" s="90"/>
      <c r="F4" s="60"/>
      <c r="G4" s="60"/>
      <c r="H4" s="90" t="s">
        <v>78</v>
      </c>
    </row>
    <row r="5" spans="1:17" ht="15.75" x14ac:dyDescent="0.3">
      <c r="A5" s="91"/>
      <c r="B5" s="92"/>
      <c r="C5" s="633" t="s">
        <v>79</v>
      </c>
      <c r="D5" s="634"/>
      <c r="E5" s="636"/>
      <c r="F5" s="633" t="s">
        <v>80</v>
      </c>
      <c r="G5" s="634"/>
      <c r="H5" s="636"/>
    </row>
    <row r="6" spans="1:17" x14ac:dyDescent="0.25">
      <c r="A6" s="93" t="s">
        <v>33</v>
      </c>
      <c r="B6" s="94"/>
      <c r="C6" s="95" t="s">
        <v>82</v>
      </c>
      <c r="D6" s="95" t="s">
        <v>122</v>
      </c>
      <c r="E6" s="96" t="s">
        <v>84</v>
      </c>
      <c r="F6" s="95" t="s">
        <v>82</v>
      </c>
      <c r="G6" s="95" t="s">
        <v>122</v>
      </c>
      <c r="H6" s="96" t="s">
        <v>84</v>
      </c>
    </row>
    <row r="7" spans="1:17" x14ac:dyDescent="0.25">
      <c r="A7" s="97"/>
      <c r="B7" s="98" t="s">
        <v>123</v>
      </c>
      <c r="C7" s="99"/>
      <c r="D7" s="99"/>
      <c r="E7" s="100"/>
      <c r="F7" s="99"/>
      <c r="G7" s="99"/>
      <c r="H7" s="100"/>
    </row>
    <row r="8" spans="1:17" ht="15.75" x14ac:dyDescent="0.3">
      <c r="A8" s="97">
        <v>1</v>
      </c>
      <c r="B8" s="101" t="s">
        <v>124</v>
      </c>
      <c r="C8" s="102">
        <v>124886.24</v>
      </c>
      <c r="D8" s="102">
        <v>-805.16</v>
      </c>
      <c r="E8" s="75">
        <f t="shared" ref="E8:E21" si="0">C8+D8</f>
        <v>124081.08</v>
      </c>
      <c r="F8" s="102">
        <v>105031.72</v>
      </c>
      <c r="G8" s="102">
        <v>-4871.33</v>
      </c>
      <c r="H8" s="75">
        <v>100160.39</v>
      </c>
      <c r="O8" s="77"/>
      <c r="P8" s="77"/>
      <c r="Q8" s="77"/>
    </row>
    <row r="9" spans="1:17" ht="15.75" x14ac:dyDescent="0.3">
      <c r="A9" s="97">
        <v>2</v>
      </c>
      <c r="B9" s="101" t="s">
        <v>125</v>
      </c>
      <c r="C9" s="103">
        <f>SUM(C10:C18)</f>
        <v>774857.84000000008</v>
      </c>
      <c r="D9" s="103">
        <f>SUM(D10:D18)</f>
        <v>227393.25</v>
      </c>
      <c r="E9" s="75">
        <f t="shared" si="0"/>
        <v>1002251.0900000001</v>
      </c>
      <c r="F9" s="103">
        <v>488546.4</v>
      </c>
      <c r="G9" s="103">
        <v>211382.00999999998</v>
      </c>
      <c r="H9" s="75">
        <v>699928.41</v>
      </c>
      <c r="O9" s="77"/>
      <c r="P9" s="77"/>
      <c r="Q9" s="77"/>
    </row>
    <row r="10" spans="1:17" ht="15.75" x14ac:dyDescent="0.3">
      <c r="A10" s="97">
        <v>2.1</v>
      </c>
      <c r="B10" s="104" t="s">
        <v>126</v>
      </c>
      <c r="C10" s="102">
        <v>0</v>
      </c>
      <c r="D10" s="102">
        <v>0</v>
      </c>
      <c r="E10" s="75">
        <f t="shared" si="0"/>
        <v>0</v>
      </c>
      <c r="F10" s="102">
        <v>0</v>
      </c>
      <c r="G10" s="102">
        <v>0</v>
      </c>
      <c r="H10" s="75">
        <v>0</v>
      </c>
      <c r="O10" s="77"/>
      <c r="P10" s="77"/>
      <c r="Q10" s="77"/>
    </row>
    <row r="11" spans="1:17" ht="15.75" x14ac:dyDescent="0.3">
      <c r="A11" s="97">
        <v>2.2000000000000002</v>
      </c>
      <c r="B11" s="104" t="s">
        <v>127</v>
      </c>
      <c r="C11" s="102">
        <v>422529.64</v>
      </c>
      <c r="D11" s="102">
        <v>70377.790000000008</v>
      </c>
      <c r="E11" s="75">
        <f t="shared" si="0"/>
        <v>492907.43000000005</v>
      </c>
      <c r="F11" s="102">
        <v>118556.31</v>
      </c>
      <c r="G11" s="102">
        <v>97464.76</v>
      </c>
      <c r="H11" s="75">
        <v>216021.07</v>
      </c>
      <c r="O11" s="77"/>
      <c r="P11" s="77"/>
      <c r="Q11" s="77"/>
    </row>
    <row r="12" spans="1:17" ht="15.75" x14ac:dyDescent="0.3">
      <c r="A12" s="97">
        <v>2.2999999999999998</v>
      </c>
      <c r="B12" s="104" t="s">
        <v>128</v>
      </c>
      <c r="C12" s="102">
        <v>0</v>
      </c>
      <c r="D12" s="102">
        <v>0</v>
      </c>
      <c r="E12" s="75">
        <f t="shared" si="0"/>
        <v>0</v>
      </c>
      <c r="F12" s="102">
        <v>0</v>
      </c>
      <c r="G12" s="102">
        <v>0</v>
      </c>
      <c r="H12" s="75">
        <v>0</v>
      </c>
      <c r="O12" s="77"/>
      <c r="P12" s="77"/>
      <c r="Q12" s="77"/>
    </row>
    <row r="13" spans="1:17" ht="15.75" x14ac:dyDescent="0.3">
      <c r="A13" s="97">
        <v>2.4</v>
      </c>
      <c r="B13" s="104" t="s">
        <v>129</v>
      </c>
      <c r="C13" s="102">
        <v>0</v>
      </c>
      <c r="D13" s="102">
        <v>0</v>
      </c>
      <c r="E13" s="75">
        <f t="shared" si="0"/>
        <v>0</v>
      </c>
      <c r="F13" s="102">
        <v>0</v>
      </c>
      <c r="G13" s="102">
        <v>0</v>
      </c>
      <c r="H13" s="75">
        <v>0</v>
      </c>
      <c r="O13" s="77"/>
      <c r="P13" s="77"/>
      <c r="Q13" s="77"/>
    </row>
    <row r="14" spans="1:17" ht="15.75" x14ac:dyDescent="0.3">
      <c r="A14" s="97">
        <v>2.5</v>
      </c>
      <c r="B14" s="104" t="s">
        <v>130</v>
      </c>
      <c r="C14" s="102">
        <v>0</v>
      </c>
      <c r="D14" s="102">
        <v>96086.15</v>
      </c>
      <c r="E14" s="75">
        <f t="shared" si="0"/>
        <v>96086.15</v>
      </c>
      <c r="F14" s="102">
        <v>0</v>
      </c>
      <c r="G14" s="102">
        <v>105578.95</v>
      </c>
      <c r="H14" s="75">
        <v>105578.95</v>
      </c>
      <c r="O14" s="77"/>
      <c r="P14" s="77"/>
      <c r="Q14" s="77"/>
    </row>
    <row r="15" spans="1:17" ht="15.75" x14ac:dyDescent="0.3">
      <c r="A15" s="97">
        <v>2.6</v>
      </c>
      <c r="B15" s="104" t="s">
        <v>131</v>
      </c>
      <c r="C15" s="102">
        <v>0</v>
      </c>
      <c r="D15" s="102">
        <v>0</v>
      </c>
      <c r="E15" s="75">
        <f t="shared" si="0"/>
        <v>0</v>
      </c>
      <c r="F15" s="102">
        <v>0</v>
      </c>
      <c r="G15" s="102">
        <v>0</v>
      </c>
      <c r="H15" s="75">
        <v>0</v>
      </c>
      <c r="O15" s="77"/>
      <c r="P15" s="77"/>
      <c r="Q15" s="77"/>
    </row>
    <row r="16" spans="1:17" ht="15.75" x14ac:dyDescent="0.3">
      <c r="A16" s="97">
        <v>2.7</v>
      </c>
      <c r="B16" s="104" t="s">
        <v>132</v>
      </c>
      <c r="C16" s="102">
        <v>0</v>
      </c>
      <c r="D16" s="102">
        <v>0</v>
      </c>
      <c r="E16" s="75">
        <f t="shared" si="0"/>
        <v>0</v>
      </c>
      <c r="F16" s="102">
        <v>0</v>
      </c>
      <c r="G16" s="102">
        <v>0</v>
      </c>
      <c r="H16" s="75">
        <v>0</v>
      </c>
      <c r="O16" s="77"/>
      <c r="P16" s="77"/>
      <c r="Q16" s="77"/>
    </row>
    <row r="17" spans="1:17" ht="15.75" x14ac:dyDescent="0.3">
      <c r="A17" s="97">
        <v>2.8</v>
      </c>
      <c r="B17" s="104" t="s">
        <v>133</v>
      </c>
      <c r="C17" s="102">
        <v>352328.2</v>
      </c>
      <c r="D17" s="102">
        <v>60929.31</v>
      </c>
      <c r="E17" s="75">
        <f t="shared" si="0"/>
        <v>413257.51</v>
      </c>
      <c r="F17" s="102">
        <v>369990.09</v>
      </c>
      <c r="G17" s="102">
        <v>8338.2999999999993</v>
      </c>
      <c r="H17" s="75">
        <v>378328.39</v>
      </c>
      <c r="O17" s="77"/>
      <c r="P17" s="77"/>
      <c r="Q17" s="77"/>
    </row>
    <row r="18" spans="1:17" ht="15.75" x14ac:dyDescent="0.3">
      <c r="A18" s="97">
        <v>2.9</v>
      </c>
      <c r="B18" s="104" t="s">
        <v>134</v>
      </c>
      <c r="C18" s="102">
        <v>0</v>
      </c>
      <c r="D18" s="102">
        <v>0</v>
      </c>
      <c r="E18" s="75">
        <f t="shared" si="0"/>
        <v>0</v>
      </c>
      <c r="F18" s="102">
        <v>0</v>
      </c>
      <c r="G18" s="102">
        <v>0</v>
      </c>
      <c r="H18" s="75">
        <v>0</v>
      </c>
      <c r="O18" s="77"/>
      <c r="P18" s="77"/>
      <c r="Q18" s="77"/>
    </row>
    <row r="19" spans="1:17" ht="15.75" x14ac:dyDescent="0.3">
      <c r="A19" s="97">
        <v>3</v>
      </c>
      <c r="B19" s="101" t="s">
        <v>135</v>
      </c>
      <c r="C19" s="102">
        <v>15601.21</v>
      </c>
      <c r="D19" s="102">
        <v>19594.22</v>
      </c>
      <c r="E19" s="75">
        <f>C19+D19</f>
        <v>35195.43</v>
      </c>
      <c r="F19" s="102">
        <v>19052.36</v>
      </c>
      <c r="G19" s="102">
        <v>-16333.67</v>
      </c>
      <c r="H19" s="75">
        <v>2718.6900000000005</v>
      </c>
      <c r="O19" s="77"/>
      <c r="P19" s="77"/>
      <c r="Q19" s="77"/>
    </row>
    <row r="20" spans="1:17" ht="15.75" x14ac:dyDescent="0.3">
      <c r="A20" s="97">
        <v>4</v>
      </c>
      <c r="B20" s="101" t="s">
        <v>136</v>
      </c>
      <c r="C20" s="102">
        <v>1826195.41</v>
      </c>
      <c r="D20" s="102"/>
      <c r="E20" s="75">
        <f t="shared" si="0"/>
        <v>1826195.41</v>
      </c>
      <c r="F20" s="102">
        <v>1906511.04</v>
      </c>
      <c r="G20" s="102"/>
      <c r="H20" s="75">
        <v>1906511.04</v>
      </c>
      <c r="O20" s="77"/>
      <c r="P20" s="77"/>
      <c r="Q20" s="77"/>
    </row>
    <row r="21" spans="1:17" ht="15.75" x14ac:dyDescent="0.3">
      <c r="A21" s="97">
        <v>5</v>
      </c>
      <c r="B21" s="101" t="s">
        <v>137</v>
      </c>
      <c r="C21" s="102">
        <v>8980.5</v>
      </c>
      <c r="D21" s="102">
        <v>1287.58</v>
      </c>
      <c r="E21" s="75">
        <f t="shared" si="0"/>
        <v>10268.08</v>
      </c>
      <c r="F21" s="102">
        <v>4339.04</v>
      </c>
      <c r="G21" s="102">
        <v>1399.8</v>
      </c>
      <c r="H21" s="75">
        <v>5738.84</v>
      </c>
      <c r="O21" s="77"/>
      <c r="P21" s="77"/>
      <c r="Q21" s="77"/>
    </row>
    <row r="22" spans="1:17" ht="15.75" x14ac:dyDescent="0.3">
      <c r="A22" s="97">
        <v>6</v>
      </c>
      <c r="B22" s="105" t="s">
        <v>138</v>
      </c>
      <c r="C22" s="103">
        <f>C8+C9+C20+C21+C19</f>
        <v>2750521.2</v>
      </c>
      <c r="D22" s="103">
        <f>D8+D9+D20+D21+D19</f>
        <v>247469.88999999998</v>
      </c>
      <c r="E22" s="75">
        <f>C22+D22</f>
        <v>2997991.0900000003</v>
      </c>
      <c r="F22" s="103">
        <v>2523480.56</v>
      </c>
      <c r="G22" s="103">
        <v>191576.80999999997</v>
      </c>
      <c r="H22" s="75">
        <v>2715057.37</v>
      </c>
      <c r="O22" s="77"/>
      <c r="P22" s="77"/>
      <c r="Q22" s="77"/>
    </row>
    <row r="23" spans="1:17" ht="15.75" x14ac:dyDescent="0.3">
      <c r="A23" s="97"/>
      <c r="B23" s="98" t="s">
        <v>139</v>
      </c>
      <c r="C23" s="102"/>
      <c r="D23" s="102"/>
      <c r="E23" s="74"/>
      <c r="F23" s="102"/>
      <c r="G23" s="102"/>
      <c r="H23" s="74"/>
      <c r="O23" s="77"/>
      <c r="P23" s="77"/>
      <c r="Q23" s="77"/>
    </row>
    <row r="24" spans="1:17" ht="15.75" x14ac:dyDescent="0.3">
      <c r="A24" s="97">
        <v>7</v>
      </c>
      <c r="B24" s="101" t="s">
        <v>140</v>
      </c>
      <c r="C24" s="102">
        <v>232131.56</v>
      </c>
      <c r="D24" s="102">
        <v>0</v>
      </c>
      <c r="E24" s="75">
        <f t="shared" ref="E24:E29" si="1">C24+D24</f>
        <v>232131.56</v>
      </c>
      <c r="F24" s="102">
        <v>191188.19</v>
      </c>
      <c r="G24" s="102">
        <v>18465.89</v>
      </c>
      <c r="H24" s="75">
        <v>209654.08000000002</v>
      </c>
      <c r="O24" s="77"/>
      <c r="P24" s="77"/>
      <c r="Q24" s="77"/>
    </row>
    <row r="25" spans="1:17" ht="15.75" x14ac:dyDescent="0.3">
      <c r="A25" s="97">
        <v>8</v>
      </c>
      <c r="B25" s="101" t="s">
        <v>141</v>
      </c>
      <c r="C25" s="102">
        <v>115917.19</v>
      </c>
      <c r="D25" s="102">
        <v>2027.04</v>
      </c>
      <c r="E25" s="75">
        <f t="shared" si="1"/>
        <v>117944.23</v>
      </c>
      <c r="F25" s="102">
        <v>98742.57</v>
      </c>
      <c r="G25" s="102">
        <v>3883.04</v>
      </c>
      <c r="H25" s="75">
        <v>102625.61</v>
      </c>
      <c r="O25" s="77"/>
      <c r="P25" s="77"/>
      <c r="Q25" s="77"/>
    </row>
    <row r="26" spans="1:17" ht="15.75" x14ac:dyDescent="0.3">
      <c r="A26" s="97">
        <v>9</v>
      </c>
      <c r="B26" s="101" t="s">
        <v>142</v>
      </c>
      <c r="C26" s="102">
        <v>13317.82</v>
      </c>
      <c r="D26" s="102">
        <v>0</v>
      </c>
      <c r="E26" s="75">
        <f t="shared" si="1"/>
        <v>13317.82</v>
      </c>
      <c r="F26" s="102">
        <v>52067.67</v>
      </c>
      <c r="G26" s="102">
        <v>0</v>
      </c>
      <c r="H26" s="75">
        <v>52067.67</v>
      </c>
      <c r="O26" s="77"/>
      <c r="P26" s="77"/>
      <c r="Q26" s="77"/>
    </row>
    <row r="27" spans="1:17" ht="15.75" x14ac:dyDescent="0.3">
      <c r="A27" s="97">
        <v>10</v>
      </c>
      <c r="B27" s="101" t="s">
        <v>143</v>
      </c>
      <c r="C27" s="102">
        <v>30390.84</v>
      </c>
      <c r="D27" s="102"/>
      <c r="E27" s="75">
        <f t="shared" si="1"/>
        <v>30390.84</v>
      </c>
      <c r="F27" s="102">
        <v>34125.74</v>
      </c>
      <c r="G27" s="102"/>
      <c r="H27" s="75">
        <v>34125.74</v>
      </c>
      <c r="O27" s="77"/>
      <c r="P27" s="77"/>
      <c r="Q27" s="77"/>
    </row>
    <row r="28" spans="1:17" ht="15.75" x14ac:dyDescent="0.3">
      <c r="A28" s="97">
        <v>11</v>
      </c>
      <c r="B28" s="101" t="s">
        <v>144</v>
      </c>
      <c r="C28" s="102">
        <v>984762.28</v>
      </c>
      <c r="D28" s="102">
        <v>0.16</v>
      </c>
      <c r="E28" s="75">
        <f t="shared" si="1"/>
        <v>984762.44000000006</v>
      </c>
      <c r="F28" s="102">
        <v>514158.43</v>
      </c>
      <c r="G28" s="102">
        <v>0</v>
      </c>
      <c r="H28" s="75">
        <v>514158.43</v>
      </c>
      <c r="O28" s="77"/>
      <c r="P28" s="77"/>
      <c r="Q28" s="77"/>
    </row>
    <row r="29" spans="1:17" ht="15.75" x14ac:dyDescent="0.3">
      <c r="A29" s="97">
        <v>12</v>
      </c>
      <c r="B29" s="101" t="s">
        <v>145</v>
      </c>
      <c r="C29" s="102"/>
      <c r="D29" s="102"/>
      <c r="E29" s="75">
        <f t="shared" si="1"/>
        <v>0</v>
      </c>
      <c r="F29" s="102"/>
      <c r="G29" s="102"/>
      <c r="H29" s="75">
        <v>0</v>
      </c>
      <c r="O29" s="77"/>
      <c r="P29" s="77"/>
      <c r="Q29" s="77"/>
    </row>
    <row r="30" spans="1:17" ht="15.75" x14ac:dyDescent="0.3">
      <c r="A30" s="97">
        <v>13</v>
      </c>
      <c r="B30" s="106" t="s">
        <v>146</v>
      </c>
      <c r="C30" s="103">
        <f>SUM(C24:C29)</f>
        <v>1376519.69</v>
      </c>
      <c r="D30" s="103">
        <f>SUM(D24:D29)</f>
        <v>2027.2</v>
      </c>
      <c r="E30" s="75">
        <f>C30+D30</f>
        <v>1378546.89</v>
      </c>
      <c r="F30" s="103">
        <v>890282.6</v>
      </c>
      <c r="G30" s="103">
        <v>22348.93</v>
      </c>
      <c r="H30" s="75">
        <v>912631.53</v>
      </c>
      <c r="O30" s="77"/>
      <c r="P30" s="77"/>
      <c r="Q30" s="77"/>
    </row>
    <row r="31" spans="1:17" ht="15.75" x14ac:dyDescent="0.3">
      <c r="A31" s="97">
        <v>14</v>
      </c>
      <c r="B31" s="106" t="s">
        <v>147</v>
      </c>
      <c r="C31" s="103">
        <f>C22-C30</f>
        <v>1374001.5100000002</v>
      </c>
      <c r="D31" s="103">
        <f>D22-D30</f>
        <v>245442.68999999997</v>
      </c>
      <c r="E31" s="75">
        <f>C31+D31</f>
        <v>1619444.2000000002</v>
      </c>
      <c r="F31" s="103">
        <v>1633197.96</v>
      </c>
      <c r="G31" s="103">
        <v>169227.87999999998</v>
      </c>
      <c r="H31" s="75">
        <v>1802425.8399999999</v>
      </c>
      <c r="O31" s="77"/>
      <c r="P31" s="77"/>
      <c r="Q31" s="77"/>
    </row>
    <row r="32" spans="1:17" x14ac:dyDescent="0.25">
      <c r="A32" s="97"/>
      <c r="B32" s="98"/>
      <c r="C32" s="107"/>
      <c r="D32" s="107"/>
      <c r="E32" s="107"/>
      <c r="F32" s="107"/>
      <c r="G32" s="107"/>
      <c r="H32" s="107"/>
      <c r="O32" s="77"/>
      <c r="P32" s="77"/>
      <c r="Q32" s="77"/>
    </row>
    <row r="33" spans="1:17" ht="15.75" x14ac:dyDescent="0.3">
      <c r="A33" s="97"/>
      <c r="B33" s="98" t="s">
        <v>148</v>
      </c>
      <c r="C33" s="102"/>
      <c r="D33" s="102"/>
      <c r="E33" s="74"/>
      <c r="F33" s="102"/>
      <c r="G33" s="102"/>
      <c r="H33" s="74"/>
      <c r="O33" s="77"/>
      <c r="P33" s="77"/>
      <c r="Q33" s="77"/>
    </row>
    <row r="34" spans="1:17" ht="15.75" x14ac:dyDescent="0.3">
      <c r="A34" s="97">
        <v>15</v>
      </c>
      <c r="B34" s="108" t="s">
        <v>149</v>
      </c>
      <c r="C34" s="103">
        <f>C35-C36</f>
        <v>-127175.5</v>
      </c>
      <c r="D34" s="103">
        <f>D35-D36</f>
        <v>-98125.930000000008</v>
      </c>
      <c r="E34" s="75">
        <f>C34+D34</f>
        <v>-225301.43</v>
      </c>
      <c r="F34" s="103">
        <v>-67175.23000000001</v>
      </c>
      <c r="G34" s="103">
        <v>260362.38</v>
      </c>
      <c r="H34" s="75">
        <v>193187.15</v>
      </c>
      <c r="O34" s="77"/>
      <c r="P34" s="77"/>
      <c r="Q34" s="77"/>
    </row>
    <row r="35" spans="1:17" ht="15.75" x14ac:dyDescent="0.3">
      <c r="A35" s="97">
        <v>15.1</v>
      </c>
      <c r="B35" s="104" t="s">
        <v>150</v>
      </c>
      <c r="C35" s="102">
        <v>80328.75</v>
      </c>
      <c r="D35" s="102">
        <v>7745.7</v>
      </c>
      <c r="E35" s="75">
        <f>C35+D35</f>
        <v>88074.45</v>
      </c>
      <c r="F35" s="102">
        <v>132067.65</v>
      </c>
      <c r="G35" s="102">
        <v>367509.83</v>
      </c>
      <c r="H35" s="75">
        <v>499577.48</v>
      </c>
      <c r="O35" s="77"/>
      <c r="P35" s="77"/>
      <c r="Q35" s="77"/>
    </row>
    <row r="36" spans="1:17" ht="15.75" x14ac:dyDescent="0.3">
      <c r="A36" s="97">
        <v>15.2</v>
      </c>
      <c r="B36" s="104" t="s">
        <v>151</v>
      </c>
      <c r="C36" s="102">
        <v>207504.25</v>
      </c>
      <c r="D36" s="102">
        <v>105871.63</v>
      </c>
      <c r="E36" s="75">
        <f>C36+D36</f>
        <v>313375.88</v>
      </c>
      <c r="F36" s="102">
        <v>199242.88</v>
      </c>
      <c r="G36" s="102">
        <v>107147.45</v>
      </c>
      <c r="H36" s="75">
        <v>306390.33</v>
      </c>
      <c r="O36" s="77"/>
      <c r="P36" s="77"/>
      <c r="Q36" s="77"/>
    </row>
    <row r="37" spans="1:17" ht="15.75" x14ac:dyDescent="0.3">
      <c r="A37" s="97">
        <v>16</v>
      </c>
      <c r="B37" s="101" t="s">
        <v>152</v>
      </c>
      <c r="C37" s="102">
        <v>0</v>
      </c>
      <c r="D37" s="102">
        <v>0</v>
      </c>
      <c r="E37" s="75">
        <f t="shared" ref="E37:E66" si="2">C37+D37</f>
        <v>0</v>
      </c>
      <c r="F37" s="102">
        <v>0</v>
      </c>
      <c r="G37" s="102">
        <v>0</v>
      </c>
      <c r="H37" s="75">
        <v>0</v>
      </c>
      <c r="O37" s="77"/>
      <c r="P37" s="77"/>
      <c r="Q37" s="77"/>
    </row>
    <row r="38" spans="1:17" ht="15.75" x14ac:dyDescent="0.3">
      <c r="A38" s="97">
        <v>17</v>
      </c>
      <c r="B38" s="101" t="s">
        <v>153</v>
      </c>
      <c r="C38" s="102">
        <v>0</v>
      </c>
      <c r="D38" s="102"/>
      <c r="E38" s="75">
        <f t="shared" si="2"/>
        <v>0</v>
      </c>
      <c r="F38" s="102">
        <v>0</v>
      </c>
      <c r="G38" s="102"/>
      <c r="H38" s="75">
        <v>0</v>
      </c>
      <c r="O38" s="77"/>
      <c r="P38" s="77"/>
      <c r="Q38" s="77"/>
    </row>
    <row r="39" spans="1:17" ht="15.75" x14ac:dyDescent="0.3">
      <c r="A39" s="97">
        <v>18</v>
      </c>
      <c r="B39" s="101" t="s">
        <v>154</v>
      </c>
      <c r="C39" s="102">
        <v>0</v>
      </c>
      <c r="D39" s="102"/>
      <c r="E39" s="75">
        <f t="shared" si="2"/>
        <v>0</v>
      </c>
      <c r="F39" s="102">
        <v>0</v>
      </c>
      <c r="G39" s="102"/>
      <c r="H39" s="75">
        <v>0</v>
      </c>
      <c r="O39" s="77"/>
      <c r="P39" s="77"/>
      <c r="Q39" s="77"/>
    </row>
    <row r="40" spans="1:17" ht="15.75" x14ac:dyDescent="0.3">
      <c r="A40" s="97">
        <v>19</v>
      </c>
      <c r="B40" s="101" t="s">
        <v>155</v>
      </c>
      <c r="C40" s="102">
        <v>696095.06</v>
      </c>
      <c r="D40" s="102"/>
      <c r="E40" s="75">
        <f t="shared" si="2"/>
        <v>696095.06</v>
      </c>
      <c r="F40" s="102">
        <v>1564473.48</v>
      </c>
      <c r="G40" s="102"/>
      <c r="H40" s="75">
        <v>1564473.48</v>
      </c>
      <c r="O40" s="77"/>
      <c r="P40" s="77"/>
      <c r="Q40" s="77"/>
    </row>
    <row r="41" spans="1:17" ht="15.75" x14ac:dyDescent="0.3">
      <c r="A41" s="97">
        <v>20</v>
      </c>
      <c r="B41" s="101" t="s">
        <v>156</v>
      </c>
      <c r="C41" s="102">
        <v>-1022664.21</v>
      </c>
      <c r="D41" s="102"/>
      <c r="E41" s="75">
        <f t="shared" si="2"/>
        <v>-1022664.21</v>
      </c>
      <c r="F41" s="102">
        <v>-2423284.65</v>
      </c>
      <c r="G41" s="102"/>
      <c r="H41" s="75">
        <v>-2423284.65</v>
      </c>
      <c r="O41" s="77"/>
      <c r="P41" s="77"/>
      <c r="Q41" s="77"/>
    </row>
    <row r="42" spans="1:17" ht="15.75" x14ac:dyDescent="0.3">
      <c r="A42" s="97">
        <v>21</v>
      </c>
      <c r="B42" s="101" t="s">
        <v>157</v>
      </c>
      <c r="C42" s="102">
        <v>-1500</v>
      </c>
      <c r="D42" s="102"/>
      <c r="E42" s="75">
        <f t="shared" si="2"/>
        <v>-1500</v>
      </c>
      <c r="F42" s="102">
        <v>-78153.67</v>
      </c>
      <c r="G42" s="102"/>
      <c r="H42" s="75">
        <v>-78153.67</v>
      </c>
      <c r="O42" s="77"/>
      <c r="P42" s="77"/>
      <c r="Q42" s="77"/>
    </row>
    <row r="43" spans="1:17" ht="15.75" x14ac:dyDescent="0.3">
      <c r="A43" s="97">
        <v>22</v>
      </c>
      <c r="B43" s="101" t="s">
        <v>158</v>
      </c>
      <c r="C43" s="102">
        <v>615.57000000000005</v>
      </c>
      <c r="D43" s="102"/>
      <c r="E43" s="75">
        <f t="shared" si="2"/>
        <v>615.57000000000005</v>
      </c>
      <c r="F43" s="102">
        <v>5894.36</v>
      </c>
      <c r="G43" s="102"/>
      <c r="H43" s="75">
        <v>5894.36</v>
      </c>
      <c r="O43" s="77"/>
      <c r="P43" s="77"/>
      <c r="Q43" s="77"/>
    </row>
    <row r="44" spans="1:17" ht="15.75" x14ac:dyDescent="0.3">
      <c r="A44" s="97">
        <v>23</v>
      </c>
      <c r="B44" s="101" t="s">
        <v>159</v>
      </c>
      <c r="C44" s="102">
        <v>25349.39</v>
      </c>
      <c r="D44" s="102">
        <v>0</v>
      </c>
      <c r="E44" s="75">
        <f t="shared" si="2"/>
        <v>25349.39</v>
      </c>
      <c r="F44" s="102">
        <v>17525.32</v>
      </c>
      <c r="G44" s="102">
        <v>0</v>
      </c>
      <c r="H44" s="75">
        <v>17525.32</v>
      </c>
      <c r="O44" s="77"/>
      <c r="P44" s="77"/>
      <c r="Q44" s="77"/>
    </row>
    <row r="45" spans="1:17" ht="15.75" x14ac:dyDescent="0.3">
      <c r="A45" s="97">
        <v>24</v>
      </c>
      <c r="B45" s="106" t="s">
        <v>160</v>
      </c>
      <c r="C45" s="103">
        <f>C34+C37+C38+C39+C40+C41+C42+C43+C44</f>
        <v>-429279.68999999989</v>
      </c>
      <c r="D45" s="103">
        <f>D34+D37+D38+D39+D40+D41+D42+D43+D44</f>
        <v>-98125.930000000008</v>
      </c>
      <c r="E45" s="75">
        <f t="shared" si="2"/>
        <v>-527405.61999999988</v>
      </c>
      <c r="F45" s="103">
        <v>-980720.39</v>
      </c>
      <c r="G45" s="103">
        <v>260362.38</v>
      </c>
      <c r="H45" s="75">
        <v>-720358.01</v>
      </c>
      <c r="O45" s="77"/>
      <c r="P45" s="77"/>
      <c r="Q45" s="77"/>
    </row>
    <row r="46" spans="1:17" x14ac:dyDescent="0.25">
      <c r="A46" s="97"/>
      <c r="B46" s="98" t="s">
        <v>161</v>
      </c>
      <c r="C46" s="102"/>
      <c r="D46" s="102"/>
      <c r="E46" s="102"/>
      <c r="F46" s="102"/>
      <c r="G46" s="102"/>
      <c r="H46" s="102"/>
      <c r="O46" s="77"/>
      <c r="P46" s="77"/>
      <c r="Q46" s="77"/>
    </row>
    <row r="47" spans="1:17" ht="15.75" x14ac:dyDescent="0.3">
      <c r="A47" s="97">
        <v>25</v>
      </c>
      <c r="B47" s="101" t="s">
        <v>162</v>
      </c>
      <c r="C47" s="102">
        <v>179443.5</v>
      </c>
      <c r="D47" s="102">
        <v>119894.88</v>
      </c>
      <c r="E47" s="75">
        <f t="shared" si="2"/>
        <v>299338.38</v>
      </c>
      <c r="F47" s="102">
        <v>145927.57</v>
      </c>
      <c r="G47" s="102">
        <v>157131.54</v>
      </c>
      <c r="H47" s="75">
        <v>303059.11</v>
      </c>
      <c r="O47" s="77"/>
      <c r="P47" s="77"/>
      <c r="Q47" s="77"/>
    </row>
    <row r="48" spans="1:17" ht="15.75" x14ac:dyDescent="0.3">
      <c r="A48" s="97">
        <v>26</v>
      </c>
      <c r="B48" s="101" t="s">
        <v>163</v>
      </c>
      <c r="C48" s="102">
        <v>150315.98000000001</v>
      </c>
      <c r="D48" s="102">
        <v>126562.43</v>
      </c>
      <c r="E48" s="75">
        <f t="shared" si="2"/>
        <v>276878.41000000003</v>
      </c>
      <c r="F48" s="102">
        <v>116826.81</v>
      </c>
      <c r="G48" s="102">
        <v>124332.58</v>
      </c>
      <c r="H48" s="75">
        <v>241159.39</v>
      </c>
      <c r="O48" s="77"/>
      <c r="P48" s="77"/>
      <c r="Q48" s="77"/>
    </row>
    <row r="49" spans="1:17" ht="15.75" x14ac:dyDescent="0.3">
      <c r="A49" s="97">
        <v>27</v>
      </c>
      <c r="B49" s="101" t="s">
        <v>164</v>
      </c>
      <c r="C49" s="102">
        <v>1738496.74</v>
      </c>
      <c r="D49" s="102"/>
      <c r="E49" s="75">
        <f t="shared" si="2"/>
        <v>1738496.74</v>
      </c>
      <c r="F49" s="102">
        <v>1430344.86</v>
      </c>
      <c r="G49" s="102"/>
      <c r="H49" s="75">
        <v>1430344.86</v>
      </c>
      <c r="O49" s="77"/>
      <c r="P49" s="77"/>
      <c r="Q49" s="77"/>
    </row>
    <row r="50" spans="1:17" ht="15.75" x14ac:dyDescent="0.3">
      <c r="A50" s="97">
        <v>28</v>
      </c>
      <c r="B50" s="101" t="s">
        <v>165</v>
      </c>
      <c r="C50" s="102">
        <v>6403.33</v>
      </c>
      <c r="D50" s="102"/>
      <c r="E50" s="75">
        <f t="shared" si="2"/>
        <v>6403.33</v>
      </c>
      <c r="F50" s="102">
        <v>0</v>
      </c>
      <c r="G50" s="102"/>
      <c r="H50" s="75">
        <v>0</v>
      </c>
      <c r="O50" s="77"/>
      <c r="P50" s="77"/>
      <c r="Q50" s="77"/>
    </row>
    <row r="51" spans="1:17" ht="15.75" x14ac:dyDescent="0.3">
      <c r="A51" s="97">
        <v>29</v>
      </c>
      <c r="B51" s="101" t="s">
        <v>166</v>
      </c>
      <c r="C51" s="102">
        <v>332090.36</v>
      </c>
      <c r="D51" s="102"/>
      <c r="E51" s="75">
        <f t="shared" si="2"/>
        <v>332090.36</v>
      </c>
      <c r="F51" s="102">
        <v>265771.73</v>
      </c>
      <c r="G51" s="102"/>
      <c r="H51" s="75">
        <v>265771.73</v>
      </c>
      <c r="O51" s="77"/>
      <c r="P51" s="77"/>
      <c r="Q51" s="77"/>
    </row>
    <row r="52" spans="1:17" ht="15.75" x14ac:dyDescent="0.3">
      <c r="A52" s="97">
        <v>30</v>
      </c>
      <c r="B52" s="101" t="s">
        <v>167</v>
      </c>
      <c r="C52" s="102">
        <v>593776.19999999995</v>
      </c>
      <c r="D52" s="102">
        <v>16371.54</v>
      </c>
      <c r="E52" s="75">
        <f t="shared" si="2"/>
        <v>610147.74</v>
      </c>
      <c r="F52" s="102">
        <v>500076.95</v>
      </c>
      <c r="G52" s="102">
        <v>0</v>
      </c>
      <c r="H52" s="75">
        <v>500076.95</v>
      </c>
      <c r="O52" s="77"/>
      <c r="P52" s="77"/>
      <c r="Q52" s="77"/>
    </row>
    <row r="53" spans="1:17" ht="15.75" x14ac:dyDescent="0.3">
      <c r="A53" s="97">
        <v>31</v>
      </c>
      <c r="B53" s="106" t="s">
        <v>168</v>
      </c>
      <c r="C53" s="103">
        <f>SUM(C47:C52)</f>
        <v>3000526.1100000003</v>
      </c>
      <c r="D53" s="103">
        <f>SUM(D47:D52)</f>
        <v>262828.84999999998</v>
      </c>
      <c r="E53" s="75">
        <f t="shared" si="2"/>
        <v>3263354.9600000004</v>
      </c>
      <c r="F53" s="103">
        <v>2458947.9200000004</v>
      </c>
      <c r="G53" s="103">
        <v>281464.12</v>
      </c>
      <c r="H53" s="75">
        <v>2740412.0400000005</v>
      </c>
      <c r="O53" s="77"/>
      <c r="P53" s="77"/>
      <c r="Q53" s="77"/>
    </row>
    <row r="54" spans="1:17" ht="15.75" x14ac:dyDescent="0.3">
      <c r="A54" s="97">
        <v>32</v>
      </c>
      <c r="B54" s="106" t="s">
        <v>169</v>
      </c>
      <c r="C54" s="103">
        <f>C45-C53</f>
        <v>-3429805.8000000003</v>
      </c>
      <c r="D54" s="103">
        <f>D45-D53</f>
        <v>-360954.77999999997</v>
      </c>
      <c r="E54" s="75">
        <f t="shared" si="2"/>
        <v>-3790760.58</v>
      </c>
      <c r="F54" s="103">
        <v>-3439668.3100000005</v>
      </c>
      <c r="G54" s="103">
        <v>-21101.739999999991</v>
      </c>
      <c r="H54" s="75">
        <v>-3460770.0500000007</v>
      </c>
      <c r="O54" s="77"/>
      <c r="P54" s="77"/>
      <c r="Q54" s="77"/>
    </row>
    <row r="55" spans="1:17" x14ac:dyDescent="0.25">
      <c r="A55" s="97"/>
      <c r="B55" s="98"/>
      <c r="C55" s="107"/>
      <c r="D55" s="107"/>
      <c r="E55" s="107"/>
      <c r="F55" s="107"/>
      <c r="G55" s="107"/>
      <c r="H55" s="107"/>
      <c r="O55" s="77"/>
      <c r="P55" s="77"/>
      <c r="Q55" s="77"/>
    </row>
    <row r="56" spans="1:17" ht="15.75" x14ac:dyDescent="0.3">
      <c r="A56" s="97">
        <v>33</v>
      </c>
      <c r="B56" s="106" t="s">
        <v>170</v>
      </c>
      <c r="C56" s="103">
        <f>C31+C54</f>
        <v>-2055804.29</v>
      </c>
      <c r="D56" s="103">
        <f>D31+D54</f>
        <v>-115512.09</v>
      </c>
      <c r="E56" s="75">
        <f t="shared" si="2"/>
        <v>-2171316.38</v>
      </c>
      <c r="F56" s="103">
        <v>-1806470.3500000006</v>
      </c>
      <c r="G56" s="103">
        <v>148126.13999999998</v>
      </c>
      <c r="H56" s="75">
        <v>-1658344.2100000007</v>
      </c>
      <c r="O56" s="77"/>
      <c r="P56" s="77"/>
      <c r="Q56" s="77"/>
    </row>
    <row r="57" spans="1:17" x14ac:dyDescent="0.25">
      <c r="A57" s="97"/>
      <c r="B57" s="98"/>
      <c r="C57" s="107"/>
      <c r="D57" s="107"/>
      <c r="E57" s="107"/>
      <c r="F57" s="107"/>
      <c r="G57" s="107"/>
      <c r="H57" s="107"/>
      <c r="O57" s="77"/>
      <c r="P57" s="77"/>
      <c r="Q57" s="77"/>
    </row>
    <row r="58" spans="1:17" ht="15.75" x14ac:dyDescent="0.3">
      <c r="A58" s="97">
        <v>34</v>
      </c>
      <c r="B58" s="101" t="s">
        <v>171</v>
      </c>
      <c r="C58" s="102">
        <v>-111389.43</v>
      </c>
      <c r="D58" s="102"/>
      <c r="E58" s="75">
        <f>C58</f>
        <v>-111389.43</v>
      </c>
      <c r="F58" s="102">
        <v>-29797.49</v>
      </c>
      <c r="G58" s="102"/>
      <c r="H58" s="75">
        <v>-29797.49</v>
      </c>
      <c r="O58" s="77"/>
      <c r="P58" s="77"/>
      <c r="Q58" s="77"/>
    </row>
    <row r="59" spans="1:17" s="112" customFormat="1" ht="15.75" x14ac:dyDescent="0.3">
      <c r="A59" s="97">
        <v>35</v>
      </c>
      <c r="B59" s="108" t="s">
        <v>172</v>
      </c>
      <c r="C59" s="109"/>
      <c r="D59" s="109"/>
      <c r="E59" s="110">
        <f>C59</f>
        <v>0</v>
      </c>
      <c r="F59" s="109"/>
      <c r="G59" s="109"/>
      <c r="H59" s="110">
        <v>0</v>
      </c>
      <c r="I59" s="111"/>
      <c r="O59" s="77"/>
      <c r="P59" s="77"/>
      <c r="Q59" s="77"/>
    </row>
    <row r="60" spans="1:17" ht="15.75" x14ac:dyDescent="0.3">
      <c r="A60" s="97">
        <v>36</v>
      </c>
      <c r="B60" s="101" t="s">
        <v>173</v>
      </c>
      <c r="C60" s="102">
        <v>-161981.31</v>
      </c>
      <c r="D60" s="102"/>
      <c r="E60" s="75">
        <f>C60</f>
        <v>-161981.31</v>
      </c>
      <c r="F60" s="102">
        <v>-1855167.18</v>
      </c>
      <c r="G60" s="102"/>
      <c r="H60" s="75">
        <v>-1855167.18</v>
      </c>
      <c r="O60" s="77"/>
      <c r="P60" s="77"/>
      <c r="Q60" s="77"/>
    </row>
    <row r="61" spans="1:17" ht="15.75" x14ac:dyDescent="0.3">
      <c r="A61" s="97">
        <v>37</v>
      </c>
      <c r="B61" s="106" t="s">
        <v>174</v>
      </c>
      <c r="C61" s="103">
        <f>SUM(C58:C60)</f>
        <v>-273370.74</v>
      </c>
      <c r="D61" s="103"/>
      <c r="E61" s="75">
        <f>C61</f>
        <v>-273370.74</v>
      </c>
      <c r="F61" s="103">
        <v>-1884964.67</v>
      </c>
      <c r="G61" s="103">
        <v>0</v>
      </c>
      <c r="H61" s="75">
        <v>-1884964.67</v>
      </c>
      <c r="O61" s="77"/>
      <c r="P61" s="77"/>
      <c r="Q61" s="77"/>
    </row>
    <row r="62" spans="1:17" x14ac:dyDescent="0.25">
      <c r="A62" s="97"/>
      <c r="B62" s="113"/>
      <c r="C62" s="102"/>
      <c r="D62" s="102"/>
      <c r="E62" s="102"/>
      <c r="F62" s="102"/>
      <c r="G62" s="102"/>
      <c r="H62" s="102"/>
      <c r="O62" s="77"/>
      <c r="P62" s="77"/>
      <c r="Q62" s="77"/>
    </row>
    <row r="63" spans="1:17" ht="15.75" x14ac:dyDescent="0.3">
      <c r="A63" s="97">
        <v>38</v>
      </c>
      <c r="B63" s="114" t="s">
        <v>175</v>
      </c>
      <c r="C63" s="103">
        <f>C56-C61</f>
        <v>-1782433.55</v>
      </c>
      <c r="D63" s="103">
        <f>D56-D61</f>
        <v>-115512.09</v>
      </c>
      <c r="E63" s="75">
        <f t="shared" si="2"/>
        <v>-1897945.6400000001</v>
      </c>
      <c r="F63" s="103">
        <v>78494.319999999367</v>
      </c>
      <c r="G63" s="103">
        <v>148126.13999999998</v>
      </c>
      <c r="H63" s="75">
        <v>226620.45999999935</v>
      </c>
      <c r="O63" s="77"/>
      <c r="P63" s="77"/>
      <c r="Q63" s="77"/>
    </row>
    <row r="64" spans="1:17" ht="15.75" x14ac:dyDescent="0.3">
      <c r="A64" s="93">
        <v>39</v>
      </c>
      <c r="B64" s="101" t="s">
        <v>176</v>
      </c>
      <c r="C64" s="115">
        <v>0</v>
      </c>
      <c r="D64" s="115"/>
      <c r="E64" s="75">
        <f t="shared" si="2"/>
        <v>0</v>
      </c>
      <c r="F64" s="115">
        <v>0</v>
      </c>
      <c r="G64" s="115"/>
      <c r="H64" s="75">
        <v>0</v>
      </c>
      <c r="O64" s="77"/>
      <c r="P64" s="77"/>
      <c r="Q64" s="77"/>
    </row>
    <row r="65" spans="1:17" ht="15.75" x14ac:dyDescent="0.3">
      <c r="A65" s="97">
        <v>40</v>
      </c>
      <c r="B65" s="106" t="s">
        <v>177</v>
      </c>
      <c r="C65" s="103">
        <f>C63-C64</f>
        <v>-1782433.55</v>
      </c>
      <c r="D65" s="103">
        <f>D63-D64</f>
        <v>-115512.09</v>
      </c>
      <c r="E65" s="75">
        <f t="shared" si="2"/>
        <v>-1897945.6400000001</v>
      </c>
      <c r="F65" s="103">
        <v>78494.319999999367</v>
      </c>
      <c r="G65" s="103">
        <v>148126.13999999998</v>
      </c>
      <c r="H65" s="75">
        <v>226620.45999999935</v>
      </c>
      <c r="O65" s="77"/>
      <c r="P65" s="77"/>
      <c r="Q65" s="77"/>
    </row>
    <row r="66" spans="1:17" ht="15.75" x14ac:dyDescent="0.3">
      <c r="A66" s="93">
        <v>41</v>
      </c>
      <c r="B66" s="101" t="s">
        <v>178</v>
      </c>
      <c r="C66" s="115">
        <v>0</v>
      </c>
      <c r="D66" s="115"/>
      <c r="E66" s="75">
        <f t="shared" si="2"/>
        <v>0</v>
      </c>
      <c r="F66" s="115">
        <v>0</v>
      </c>
      <c r="G66" s="115"/>
      <c r="H66" s="75">
        <v>0</v>
      </c>
      <c r="O66" s="77"/>
      <c r="P66" s="77"/>
      <c r="Q66" s="77"/>
    </row>
    <row r="67" spans="1:17" ht="16.5" thickBot="1" x14ac:dyDescent="0.35">
      <c r="A67" s="116">
        <v>42</v>
      </c>
      <c r="B67" s="117" t="s">
        <v>179</v>
      </c>
      <c r="C67" s="118">
        <f>C65+C66</f>
        <v>-1782433.55</v>
      </c>
      <c r="D67" s="118">
        <f>D65+D66</f>
        <v>-115512.09</v>
      </c>
      <c r="E67" s="83">
        <f>C67+D67</f>
        <v>-1897945.6400000001</v>
      </c>
      <c r="F67" s="118">
        <v>78494.319999999367</v>
      </c>
      <c r="G67" s="118">
        <v>148126.13999999998</v>
      </c>
      <c r="H67" s="83">
        <v>226620.45999999935</v>
      </c>
      <c r="O67" s="77"/>
      <c r="P67" s="77"/>
      <c r="Q67" s="77"/>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5368-6434-4E04-A741-266425F0DBE5}">
  <sheetPr>
    <pageSetUpPr fitToPage="1"/>
  </sheetPr>
  <dimension ref="A1:H53"/>
  <sheetViews>
    <sheetView zoomScaleNormal="100" workbookViewId="0">
      <selection activeCell="C7" sqref="C7:H53"/>
    </sheetView>
  </sheetViews>
  <sheetFormatPr defaultRowHeight="15" x14ac:dyDescent="0.25"/>
  <cols>
    <col min="1" max="1" width="9.5703125" bestFit="1" customWidth="1"/>
    <col min="2" max="2" width="69.28515625" customWidth="1"/>
    <col min="3" max="8" width="12.7109375" customWidth="1"/>
  </cols>
  <sheetData>
    <row r="1" spans="1:8" x14ac:dyDescent="0.25">
      <c r="A1" s="17" t="s">
        <v>30</v>
      </c>
      <c r="B1" s="119" t="s">
        <v>2</v>
      </c>
    </row>
    <row r="2" spans="1:8" x14ac:dyDescent="0.25">
      <c r="A2" s="17" t="s">
        <v>31</v>
      </c>
      <c r="B2" s="120">
        <v>44742</v>
      </c>
    </row>
    <row r="3" spans="1:8" x14ac:dyDescent="0.25">
      <c r="A3" s="17"/>
    </row>
    <row r="4" spans="1:8" ht="16.5" thickBot="1" x14ac:dyDescent="0.35">
      <c r="A4" s="17" t="s">
        <v>180</v>
      </c>
      <c r="B4" s="17"/>
      <c r="C4" s="121"/>
      <c r="D4" s="121"/>
      <c r="E4" s="121"/>
      <c r="F4" s="121"/>
      <c r="G4" s="121"/>
      <c r="H4" s="122" t="s">
        <v>78</v>
      </c>
    </row>
    <row r="5" spans="1:8" ht="15.75" x14ac:dyDescent="0.3">
      <c r="A5" s="637" t="s">
        <v>33</v>
      </c>
      <c r="B5" s="639" t="s">
        <v>181</v>
      </c>
      <c r="C5" s="641" t="s">
        <v>79</v>
      </c>
      <c r="D5" s="641"/>
      <c r="E5" s="641"/>
      <c r="F5" s="641" t="s">
        <v>80</v>
      </c>
      <c r="G5" s="641"/>
      <c r="H5" s="642"/>
    </row>
    <row r="6" spans="1:8" x14ac:dyDescent="0.25">
      <c r="A6" s="638"/>
      <c r="B6" s="640"/>
      <c r="C6" s="71" t="s">
        <v>82</v>
      </c>
      <c r="D6" s="71" t="s">
        <v>83</v>
      </c>
      <c r="E6" s="71" t="s">
        <v>84</v>
      </c>
      <c r="F6" s="71" t="s">
        <v>82</v>
      </c>
      <c r="G6" s="71" t="s">
        <v>83</v>
      </c>
      <c r="H6" s="72" t="s">
        <v>84</v>
      </c>
    </row>
    <row r="7" spans="1:8" ht="15.75" x14ac:dyDescent="0.3">
      <c r="A7" s="123">
        <v>1</v>
      </c>
      <c r="B7" s="124" t="s">
        <v>182</v>
      </c>
      <c r="C7" s="125">
        <f>SUM(C8:C11)</f>
        <v>1377142.53</v>
      </c>
      <c r="D7" s="125">
        <f>SUM(D8:D11)</f>
        <v>58427.86</v>
      </c>
      <c r="E7" s="126">
        <f>C7+D7</f>
        <v>1435570.3900000001</v>
      </c>
      <c r="F7" s="125">
        <f>F8+F10</f>
        <v>177048.98</v>
      </c>
      <c r="G7" s="125">
        <f>G8+G10</f>
        <v>63206</v>
      </c>
      <c r="H7" s="126">
        <f>H8+H10</f>
        <v>240254.98</v>
      </c>
    </row>
    <row r="8" spans="1:8" ht="15.75" x14ac:dyDescent="0.3">
      <c r="A8" s="123">
        <v>1.1000000000000001</v>
      </c>
      <c r="B8" s="127" t="s">
        <v>183</v>
      </c>
      <c r="C8" s="128">
        <v>1289500</v>
      </c>
      <c r="D8" s="128">
        <v>29289</v>
      </c>
      <c r="E8" s="126">
        <f t="shared" ref="E8:E53" si="0">C8+D8</f>
        <v>1318789</v>
      </c>
      <c r="F8" s="128">
        <v>125000</v>
      </c>
      <c r="G8" s="128">
        <v>31603</v>
      </c>
      <c r="H8" s="126">
        <v>156603</v>
      </c>
    </row>
    <row r="9" spans="1:8" ht="15.75" x14ac:dyDescent="0.3">
      <c r="A9" s="123">
        <v>1.2</v>
      </c>
      <c r="B9" s="127" t="s">
        <v>184</v>
      </c>
      <c r="C9" s="128"/>
      <c r="D9" s="128"/>
      <c r="E9" s="126">
        <f t="shared" si="0"/>
        <v>0</v>
      </c>
      <c r="F9" s="128"/>
      <c r="G9" s="128"/>
      <c r="H9" s="126">
        <v>0</v>
      </c>
    </row>
    <row r="10" spans="1:8" ht="15.75" x14ac:dyDescent="0.3">
      <c r="A10" s="123">
        <v>1.3</v>
      </c>
      <c r="B10" s="127" t="s">
        <v>185</v>
      </c>
      <c r="C10" s="128">
        <v>87642.53</v>
      </c>
      <c r="D10" s="128">
        <v>29138.86</v>
      </c>
      <c r="E10" s="126">
        <f t="shared" si="0"/>
        <v>116781.39</v>
      </c>
      <c r="F10" s="128">
        <v>52048.98</v>
      </c>
      <c r="G10" s="128">
        <v>31603</v>
      </c>
      <c r="H10" s="126">
        <v>83651.98000000001</v>
      </c>
    </row>
    <row r="11" spans="1:8" ht="15.75" x14ac:dyDescent="0.3">
      <c r="A11" s="123">
        <v>1.4</v>
      </c>
      <c r="B11" s="127" t="s">
        <v>186</v>
      </c>
      <c r="C11" s="128"/>
      <c r="D11" s="128"/>
      <c r="E11" s="126">
        <f t="shared" si="0"/>
        <v>0</v>
      </c>
      <c r="F11" s="128"/>
      <c r="G11" s="128"/>
      <c r="H11" s="126">
        <v>0</v>
      </c>
    </row>
    <row r="12" spans="1:8" ht="29.25" customHeight="1" x14ac:dyDescent="0.3">
      <c r="A12" s="123">
        <v>2</v>
      </c>
      <c r="B12" s="124" t="s">
        <v>187</v>
      </c>
      <c r="C12" s="128"/>
      <c r="D12" s="128"/>
      <c r="E12" s="126">
        <f t="shared" si="0"/>
        <v>0</v>
      </c>
      <c r="F12" s="128"/>
      <c r="G12" s="128"/>
      <c r="H12" s="126">
        <v>0</v>
      </c>
    </row>
    <row r="13" spans="1:8" ht="25.5" x14ac:dyDescent="0.3">
      <c r="A13" s="123">
        <v>3</v>
      </c>
      <c r="B13" s="124" t="s">
        <v>188</v>
      </c>
      <c r="C13" s="128"/>
      <c r="D13" s="128"/>
      <c r="E13" s="126">
        <f t="shared" si="0"/>
        <v>0</v>
      </c>
      <c r="F13" s="128"/>
      <c r="G13" s="128"/>
      <c r="H13" s="126">
        <v>0</v>
      </c>
    </row>
    <row r="14" spans="1:8" ht="15.75" x14ac:dyDescent="0.3">
      <c r="A14" s="123">
        <v>3.1</v>
      </c>
      <c r="B14" s="127" t="s">
        <v>189</v>
      </c>
      <c r="C14" s="128"/>
      <c r="D14" s="128"/>
      <c r="E14" s="126">
        <f t="shared" si="0"/>
        <v>0</v>
      </c>
      <c r="F14" s="128"/>
      <c r="G14" s="128"/>
      <c r="H14" s="126">
        <v>0</v>
      </c>
    </row>
    <row r="15" spans="1:8" ht="15.75" x14ac:dyDescent="0.3">
      <c r="A15" s="123">
        <v>3.2</v>
      </c>
      <c r="B15" s="127" t="s">
        <v>190</v>
      </c>
      <c r="C15" s="128"/>
      <c r="D15" s="128"/>
      <c r="E15" s="126">
        <f t="shared" si="0"/>
        <v>0</v>
      </c>
      <c r="F15" s="128"/>
      <c r="G15" s="128"/>
      <c r="H15" s="126">
        <v>0</v>
      </c>
    </row>
    <row r="16" spans="1:8" ht="15.75" x14ac:dyDescent="0.3">
      <c r="A16" s="123">
        <v>4</v>
      </c>
      <c r="B16" s="124" t="s">
        <v>191</v>
      </c>
      <c r="C16" s="125">
        <f>C17+C18</f>
        <v>191000</v>
      </c>
      <c r="D16" s="125">
        <f>D17+D18</f>
        <v>5857800</v>
      </c>
      <c r="E16" s="126">
        <f t="shared" si="0"/>
        <v>6048800</v>
      </c>
      <c r="F16" s="125">
        <f>F17</f>
        <v>84000</v>
      </c>
      <c r="G16" s="125">
        <f>G17</f>
        <v>316030</v>
      </c>
      <c r="H16" s="126">
        <f>H17</f>
        <v>400030</v>
      </c>
    </row>
    <row r="17" spans="1:8" ht="15.75" x14ac:dyDescent="0.3">
      <c r="A17" s="123">
        <v>4.0999999999999996</v>
      </c>
      <c r="B17" s="127" t="s">
        <v>192</v>
      </c>
      <c r="C17" s="128">
        <v>191000</v>
      </c>
      <c r="D17" s="128">
        <v>5857800</v>
      </c>
      <c r="E17" s="126">
        <f t="shared" si="0"/>
        <v>6048800</v>
      </c>
      <c r="F17" s="128">
        <v>84000</v>
      </c>
      <c r="G17" s="128">
        <v>316030</v>
      </c>
      <c r="H17" s="126">
        <v>400030</v>
      </c>
    </row>
    <row r="18" spans="1:8" ht="15.75" x14ac:dyDescent="0.3">
      <c r="A18" s="123">
        <v>4.2</v>
      </c>
      <c r="B18" s="127" t="s">
        <v>193</v>
      </c>
      <c r="C18" s="128"/>
      <c r="D18" s="128"/>
      <c r="E18" s="126">
        <f t="shared" si="0"/>
        <v>0</v>
      </c>
      <c r="F18" s="128"/>
      <c r="G18" s="128"/>
      <c r="H18" s="126">
        <v>0</v>
      </c>
    </row>
    <row r="19" spans="1:8" ht="25.5" x14ac:dyDescent="0.3">
      <c r="A19" s="123">
        <v>5</v>
      </c>
      <c r="B19" s="124" t="s">
        <v>194</v>
      </c>
      <c r="C19" s="125">
        <f>SUM(C20:C31)</f>
        <v>1216000</v>
      </c>
      <c r="D19" s="125">
        <f>SUM(D20:D31)</f>
        <v>18204927.510000002</v>
      </c>
      <c r="E19" s="126">
        <f t="shared" si="0"/>
        <v>19420927.510000002</v>
      </c>
      <c r="F19" s="125">
        <f>F20+F23+F29</f>
        <v>245000</v>
      </c>
      <c r="G19" s="125">
        <f>G20+G23+G24+G26</f>
        <v>24763004.700000003</v>
      </c>
      <c r="H19" s="126">
        <f>H20+H23+H24+H26+H29</f>
        <v>25008004.700000003</v>
      </c>
    </row>
    <row r="20" spans="1:8" ht="15.75" x14ac:dyDescent="0.3">
      <c r="A20" s="123">
        <v>5.0999999999999996</v>
      </c>
      <c r="B20" s="127" t="s">
        <v>195</v>
      </c>
      <c r="C20" s="128">
        <v>1201000</v>
      </c>
      <c r="D20" s="128">
        <v>35146.800000000003</v>
      </c>
      <c r="E20" s="126">
        <f t="shared" si="0"/>
        <v>1236146.8</v>
      </c>
      <c r="F20" s="128">
        <v>140000</v>
      </c>
      <c r="G20" s="128">
        <v>37923.599999999999</v>
      </c>
      <c r="H20" s="126">
        <v>177923.6</v>
      </c>
    </row>
    <row r="21" spans="1:8" ht="15.75" x14ac:dyDescent="0.3">
      <c r="A21" s="123">
        <v>5.2</v>
      </c>
      <c r="B21" s="127" t="s">
        <v>196</v>
      </c>
      <c r="C21" s="128"/>
      <c r="D21" s="128"/>
      <c r="E21" s="126">
        <f t="shared" si="0"/>
        <v>0</v>
      </c>
      <c r="F21" s="128"/>
      <c r="G21" s="128"/>
      <c r="H21" s="126">
        <v>0</v>
      </c>
    </row>
    <row r="22" spans="1:8" ht="15.75" x14ac:dyDescent="0.3">
      <c r="A22" s="123">
        <v>5.3</v>
      </c>
      <c r="B22" s="127" t="s">
        <v>197</v>
      </c>
      <c r="C22" s="128"/>
      <c r="D22" s="128"/>
      <c r="E22" s="126">
        <f t="shared" si="0"/>
        <v>0</v>
      </c>
      <c r="F22" s="128"/>
      <c r="G22" s="128"/>
      <c r="H22" s="126">
        <v>0</v>
      </c>
    </row>
    <row r="23" spans="1:8" ht="15.75" x14ac:dyDescent="0.3">
      <c r="A23" s="123" t="s">
        <v>198</v>
      </c>
      <c r="B23" s="129" t="s">
        <v>199</v>
      </c>
      <c r="C23" s="128">
        <v>0</v>
      </c>
      <c r="D23" s="128">
        <v>5937029.4400000004</v>
      </c>
      <c r="E23" s="126">
        <f t="shared" si="0"/>
        <v>5937029.4400000004</v>
      </c>
      <c r="F23" s="128">
        <v>90000</v>
      </c>
      <c r="G23" s="128">
        <v>5173411.0999999996</v>
      </c>
      <c r="H23" s="126">
        <v>5263411.0999999996</v>
      </c>
    </row>
    <row r="24" spans="1:8" ht="15.75" x14ac:dyDescent="0.3">
      <c r="A24" s="123" t="s">
        <v>200</v>
      </c>
      <c r="B24" s="129" t="s">
        <v>201</v>
      </c>
      <c r="C24" s="128">
        <v>0</v>
      </c>
      <c r="D24" s="128">
        <v>7386392.9100000001</v>
      </c>
      <c r="E24" s="126">
        <f t="shared" si="0"/>
        <v>7386392.9100000001</v>
      </c>
      <c r="F24" s="128">
        <v>0</v>
      </c>
      <c r="G24" s="128">
        <v>14590157.01</v>
      </c>
      <c r="H24" s="126">
        <v>14590157.01</v>
      </c>
    </row>
    <row r="25" spans="1:8" ht="15.75" x14ac:dyDescent="0.3">
      <c r="A25" s="123" t="s">
        <v>202</v>
      </c>
      <c r="B25" s="130" t="s">
        <v>203</v>
      </c>
      <c r="C25" s="128">
        <v>0</v>
      </c>
      <c r="D25" s="128">
        <v>0</v>
      </c>
      <c r="E25" s="126">
        <f t="shared" si="0"/>
        <v>0</v>
      </c>
      <c r="F25" s="128">
        <v>0</v>
      </c>
      <c r="G25" s="128">
        <v>0</v>
      </c>
      <c r="H25" s="126">
        <v>0</v>
      </c>
    </row>
    <row r="26" spans="1:8" ht="15.75" x14ac:dyDescent="0.3">
      <c r="A26" s="123" t="s">
        <v>204</v>
      </c>
      <c r="B26" s="129" t="s">
        <v>205</v>
      </c>
      <c r="C26" s="128">
        <v>0</v>
      </c>
      <c r="D26" s="128">
        <v>4846358.3600000003</v>
      </c>
      <c r="E26" s="126">
        <f t="shared" si="0"/>
        <v>4846358.3600000003</v>
      </c>
      <c r="F26" s="128">
        <v>0</v>
      </c>
      <c r="G26" s="128">
        <v>4961512.99</v>
      </c>
      <c r="H26" s="126">
        <v>4961512.99</v>
      </c>
    </row>
    <row r="27" spans="1:8" ht="15.75" x14ac:dyDescent="0.3">
      <c r="A27" s="123" t="s">
        <v>206</v>
      </c>
      <c r="B27" s="129" t="s">
        <v>207</v>
      </c>
      <c r="C27" s="128">
        <v>0</v>
      </c>
      <c r="D27" s="128">
        <v>0</v>
      </c>
      <c r="E27" s="126">
        <f t="shared" si="0"/>
        <v>0</v>
      </c>
      <c r="F27" s="128">
        <v>0</v>
      </c>
      <c r="G27" s="128">
        <v>0</v>
      </c>
      <c r="H27" s="126">
        <v>0</v>
      </c>
    </row>
    <row r="28" spans="1:8" ht="15.75" x14ac:dyDescent="0.3">
      <c r="A28" s="123">
        <v>5.4</v>
      </c>
      <c r="B28" s="127" t="s">
        <v>208</v>
      </c>
      <c r="C28" s="128">
        <v>0</v>
      </c>
      <c r="D28" s="128">
        <v>0</v>
      </c>
      <c r="E28" s="126">
        <f t="shared" si="0"/>
        <v>0</v>
      </c>
      <c r="F28" s="128">
        <v>0</v>
      </c>
      <c r="G28" s="128">
        <v>0</v>
      </c>
      <c r="H28" s="126">
        <v>0</v>
      </c>
    </row>
    <row r="29" spans="1:8" ht="15.75" x14ac:dyDescent="0.3">
      <c r="A29" s="123">
        <v>5.5</v>
      </c>
      <c r="B29" s="127" t="s">
        <v>209</v>
      </c>
      <c r="C29" s="128">
        <v>15000</v>
      </c>
      <c r="D29" s="128">
        <v>0</v>
      </c>
      <c r="E29" s="126">
        <f t="shared" si="0"/>
        <v>15000</v>
      </c>
      <c r="F29" s="128">
        <v>15000</v>
      </c>
      <c r="G29" s="128">
        <v>0</v>
      </c>
      <c r="H29" s="126">
        <v>15000</v>
      </c>
    </row>
    <row r="30" spans="1:8" ht="15.75" x14ac:dyDescent="0.3">
      <c r="A30" s="123">
        <v>5.6</v>
      </c>
      <c r="B30" s="127" t="s">
        <v>210</v>
      </c>
      <c r="C30" s="128">
        <v>0</v>
      </c>
      <c r="D30" s="128">
        <v>0</v>
      </c>
      <c r="E30" s="126">
        <f t="shared" si="0"/>
        <v>0</v>
      </c>
      <c r="F30" s="128">
        <v>0</v>
      </c>
      <c r="G30" s="128">
        <v>0</v>
      </c>
      <c r="H30" s="126">
        <v>0</v>
      </c>
    </row>
    <row r="31" spans="1:8" ht="15.75" x14ac:dyDescent="0.3">
      <c r="A31" s="123">
        <v>5.7</v>
      </c>
      <c r="B31" s="127" t="s">
        <v>211</v>
      </c>
      <c r="C31" s="128">
        <v>0</v>
      </c>
      <c r="D31" s="128">
        <v>0</v>
      </c>
      <c r="E31" s="126">
        <f t="shared" si="0"/>
        <v>0</v>
      </c>
      <c r="F31" s="128">
        <v>0</v>
      </c>
      <c r="G31" s="128">
        <v>0</v>
      </c>
      <c r="H31" s="126">
        <v>0</v>
      </c>
    </row>
    <row r="32" spans="1:8" ht="15.75" x14ac:dyDescent="0.3">
      <c r="A32" s="123">
        <v>6</v>
      </c>
      <c r="B32" s="124" t="s">
        <v>212</v>
      </c>
      <c r="C32" s="125">
        <f>C33+C34</f>
        <v>3967200</v>
      </c>
      <c r="D32" s="125">
        <f>D33+D34</f>
        <v>5857800</v>
      </c>
      <c r="E32" s="126">
        <f t="shared" si="0"/>
        <v>9825000</v>
      </c>
      <c r="F32" s="125">
        <f>F33+F34</f>
        <v>6363900</v>
      </c>
      <c r="G32" s="125">
        <f>G33+G34</f>
        <v>22122100</v>
      </c>
      <c r="H32" s="126">
        <f>H33+H34</f>
        <v>28486000</v>
      </c>
    </row>
    <row r="33" spans="1:8" ht="25.5" x14ac:dyDescent="0.3">
      <c r="A33" s="123">
        <v>6.1</v>
      </c>
      <c r="B33" s="127" t="s">
        <v>213</v>
      </c>
      <c r="C33" s="128">
        <v>0</v>
      </c>
      <c r="D33" s="128">
        <v>5857800</v>
      </c>
      <c r="E33" s="126">
        <f t="shared" si="0"/>
        <v>5857800</v>
      </c>
      <c r="F33" s="128">
        <v>0</v>
      </c>
      <c r="G33" s="128">
        <v>22122100</v>
      </c>
      <c r="H33" s="126">
        <v>22122100</v>
      </c>
    </row>
    <row r="34" spans="1:8" ht="25.5" x14ac:dyDescent="0.3">
      <c r="A34" s="123">
        <v>6.2</v>
      </c>
      <c r="B34" s="127" t="s">
        <v>214</v>
      </c>
      <c r="C34" s="128">
        <v>3967200</v>
      </c>
      <c r="D34" s="128">
        <v>0</v>
      </c>
      <c r="E34" s="126">
        <f t="shared" si="0"/>
        <v>3967200</v>
      </c>
      <c r="F34" s="128">
        <v>6363900</v>
      </c>
      <c r="G34" s="128">
        <v>0</v>
      </c>
      <c r="H34" s="126">
        <v>6363900</v>
      </c>
    </row>
    <row r="35" spans="1:8" ht="25.5" x14ac:dyDescent="0.3">
      <c r="A35" s="123">
        <v>6.3</v>
      </c>
      <c r="B35" s="127" t="s">
        <v>215</v>
      </c>
      <c r="C35" s="128"/>
      <c r="D35" s="128"/>
      <c r="E35" s="126">
        <f t="shared" si="0"/>
        <v>0</v>
      </c>
      <c r="F35" s="128"/>
      <c r="G35" s="128"/>
      <c r="H35" s="126">
        <v>0</v>
      </c>
    </row>
    <row r="36" spans="1:8" ht="15.75" x14ac:dyDescent="0.3">
      <c r="A36" s="123">
        <v>6.4</v>
      </c>
      <c r="B36" s="127" t="s">
        <v>216</v>
      </c>
      <c r="C36" s="128"/>
      <c r="D36" s="128"/>
      <c r="E36" s="126">
        <f t="shared" si="0"/>
        <v>0</v>
      </c>
      <c r="F36" s="128"/>
      <c r="G36" s="128"/>
      <c r="H36" s="126">
        <v>0</v>
      </c>
    </row>
    <row r="37" spans="1:8" ht="15.75" x14ac:dyDescent="0.3">
      <c r="A37" s="123">
        <v>6.5</v>
      </c>
      <c r="B37" s="127" t="s">
        <v>217</v>
      </c>
      <c r="C37" s="128"/>
      <c r="D37" s="128"/>
      <c r="E37" s="126">
        <f t="shared" si="0"/>
        <v>0</v>
      </c>
      <c r="F37" s="128"/>
      <c r="G37" s="128"/>
      <c r="H37" s="126">
        <v>0</v>
      </c>
    </row>
    <row r="38" spans="1:8" ht="25.5" x14ac:dyDescent="0.3">
      <c r="A38" s="123">
        <v>6.6</v>
      </c>
      <c r="B38" s="127" t="s">
        <v>218</v>
      </c>
      <c r="C38" s="128"/>
      <c r="D38" s="128"/>
      <c r="E38" s="126">
        <f t="shared" si="0"/>
        <v>0</v>
      </c>
      <c r="F38" s="128"/>
      <c r="G38" s="128"/>
      <c r="H38" s="126">
        <v>0</v>
      </c>
    </row>
    <row r="39" spans="1:8" ht="25.5" x14ac:dyDescent="0.3">
      <c r="A39" s="123">
        <v>6.7</v>
      </c>
      <c r="B39" s="127" t="s">
        <v>219</v>
      </c>
      <c r="C39" s="128"/>
      <c r="D39" s="128"/>
      <c r="E39" s="126">
        <f t="shared" si="0"/>
        <v>0</v>
      </c>
      <c r="F39" s="128"/>
      <c r="G39" s="128"/>
      <c r="H39" s="126">
        <v>0</v>
      </c>
    </row>
    <row r="40" spans="1:8" ht="15.75" x14ac:dyDescent="0.3">
      <c r="A40" s="123">
        <v>7</v>
      </c>
      <c r="B40" s="124" t="s">
        <v>220</v>
      </c>
      <c r="C40" s="125">
        <f>SUM(C41:C44)</f>
        <v>9139569</v>
      </c>
      <c r="D40" s="125">
        <f>SUM(D41:D44)</f>
        <v>7542776</v>
      </c>
      <c r="E40" s="126">
        <f t="shared" si="0"/>
        <v>16682345</v>
      </c>
      <c r="F40" s="125">
        <f>F41+F42+F43+F44</f>
        <v>8302418</v>
      </c>
      <c r="G40" s="125">
        <f>G41+G42+G43+G44</f>
        <v>3358715</v>
      </c>
      <c r="H40" s="126">
        <f>H41+H42+H44+H43</f>
        <v>11661133</v>
      </c>
    </row>
    <row r="41" spans="1:8" ht="25.5" x14ac:dyDescent="0.3">
      <c r="A41" s="123">
        <v>7.1</v>
      </c>
      <c r="B41" s="127" t="s">
        <v>221</v>
      </c>
      <c r="C41" s="128">
        <v>0</v>
      </c>
      <c r="D41" s="128">
        <v>0</v>
      </c>
      <c r="E41" s="126">
        <f t="shared" si="0"/>
        <v>0</v>
      </c>
      <c r="F41" s="128">
        <v>41839</v>
      </c>
      <c r="G41" s="128">
        <v>0</v>
      </c>
      <c r="H41" s="126">
        <v>41839</v>
      </c>
    </row>
    <row r="42" spans="1:8" ht="25.5" x14ac:dyDescent="0.3">
      <c r="A42" s="123">
        <v>7.2</v>
      </c>
      <c r="B42" s="127" t="s">
        <v>222</v>
      </c>
      <c r="C42" s="128">
        <v>1655762</v>
      </c>
      <c r="D42" s="128">
        <v>2525582</v>
      </c>
      <c r="E42" s="126">
        <f t="shared" si="0"/>
        <v>4181344</v>
      </c>
      <c r="F42" s="128">
        <v>2242439</v>
      </c>
      <c r="G42" s="128">
        <v>2252123</v>
      </c>
      <c r="H42" s="126">
        <v>4494562</v>
      </c>
    </row>
    <row r="43" spans="1:8" ht="25.5" x14ac:dyDescent="0.3">
      <c r="A43" s="123">
        <v>7.3</v>
      </c>
      <c r="B43" s="127" t="s">
        <v>223</v>
      </c>
      <c r="C43" s="128">
        <v>4146758</v>
      </c>
      <c r="D43" s="128">
        <v>1168220</v>
      </c>
      <c r="E43" s="126">
        <f t="shared" si="0"/>
        <v>5314978</v>
      </c>
      <c r="F43" s="128">
        <v>4092819</v>
      </c>
      <c r="G43" s="128">
        <v>765111</v>
      </c>
      <c r="H43" s="126">
        <v>4857930</v>
      </c>
    </row>
    <row r="44" spans="1:8" ht="25.5" x14ac:dyDescent="0.3">
      <c r="A44" s="123">
        <v>7.4</v>
      </c>
      <c r="B44" s="127" t="s">
        <v>224</v>
      </c>
      <c r="C44" s="131">
        <v>3337049</v>
      </c>
      <c r="D44" s="128">
        <v>3848974</v>
      </c>
      <c r="E44" s="126">
        <f t="shared" si="0"/>
        <v>7186023</v>
      </c>
      <c r="F44" s="128">
        <v>1925321</v>
      </c>
      <c r="G44" s="128">
        <v>341481</v>
      </c>
      <c r="H44" s="126">
        <v>2266802</v>
      </c>
    </row>
    <row r="45" spans="1:8" ht="15.75" x14ac:dyDescent="0.3">
      <c r="A45" s="123">
        <v>8</v>
      </c>
      <c r="B45" s="124" t="s">
        <v>225</v>
      </c>
      <c r="C45" s="128"/>
      <c r="D45" s="128"/>
      <c r="E45" s="126">
        <f t="shared" si="0"/>
        <v>0</v>
      </c>
      <c r="F45" s="128"/>
      <c r="G45" s="128"/>
      <c r="H45" s="126">
        <v>0</v>
      </c>
    </row>
    <row r="46" spans="1:8" ht="15.75" x14ac:dyDescent="0.3">
      <c r="A46" s="123">
        <v>8.1</v>
      </c>
      <c r="B46" s="127" t="s">
        <v>226</v>
      </c>
      <c r="C46" s="128"/>
      <c r="D46" s="128"/>
      <c r="E46" s="126">
        <f t="shared" si="0"/>
        <v>0</v>
      </c>
      <c r="F46" s="128"/>
      <c r="G46" s="128"/>
      <c r="H46" s="126">
        <v>0</v>
      </c>
    </row>
    <row r="47" spans="1:8" ht="15.75" x14ac:dyDescent="0.3">
      <c r="A47" s="123">
        <v>8.1999999999999993</v>
      </c>
      <c r="B47" s="127" t="s">
        <v>227</v>
      </c>
      <c r="C47" s="128"/>
      <c r="D47" s="128"/>
      <c r="E47" s="126">
        <f t="shared" si="0"/>
        <v>0</v>
      </c>
      <c r="F47" s="128"/>
      <c r="G47" s="128"/>
      <c r="H47" s="126">
        <v>0</v>
      </c>
    </row>
    <row r="48" spans="1:8" ht="15.75" x14ac:dyDescent="0.3">
      <c r="A48" s="123">
        <v>8.3000000000000007</v>
      </c>
      <c r="B48" s="127" t="s">
        <v>228</v>
      </c>
      <c r="C48" s="128"/>
      <c r="D48" s="128"/>
      <c r="E48" s="126">
        <f t="shared" si="0"/>
        <v>0</v>
      </c>
      <c r="F48" s="128"/>
      <c r="G48" s="128"/>
      <c r="H48" s="126">
        <v>0</v>
      </c>
    </row>
    <row r="49" spans="1:8" ht="15.75" x14ac:dyDescent="0.3">
      <c r="A49" s="123">
        <v>8.4</v>
      </c>
      <c r="B49" s="127" t="s">
        <v>229</v>
      </c>
      <c r="C49" s="128"/>
      <c r="D49" s="128"/>
      <c r="E49" s="126">
        <f t="shared" si="0"/>
        <v>0</v>
      </c>
      <c r="F49" s="128"/>
      <c r="G49" s="128"/>
      <c r="H49" s="126">
        <v>0</v>
      </c>
    </row>
    <row r="50" spans="1:8" ht="15.75" x14ac:dyDescent="0.3">
      <c r="A50" s="123">
        <v>8.5</v>
      </c>
      <c r="B50" s="127" t="s">
        <v>230</v>
      </c>
      <c r="C50" s="128"/>
      <c r="D50" s="128"/>
      <c r="E50" s="126">
        <f t="shared" si="0"/>
        <v>0</v>
      </c>
      <c r="F50" s="128"/>
      <c r="G50" s="128"/>
      <c r="H50" s="126">
        <v>0</v>
      </c>
    </row>
    <row r="51" spans="1:8" ht="15.75" x14ac:dyDescent="0.3">
      <c r="A51" s="123">
        <v>8.6</v>
      </c>
      <c r="B51" s="127" t="s">
        <v>231</v>
      </c>
      <c r="C51" s="128"/>
      <c r="D51" s="128"/>
      <c r="E51" s="126">
        <f t="shared" si="0"/>
        <v>0</v>
      </c>
      <c r="F51" s="128"/>
      <c r="G51" s="128"/>
      <c r="H51" s="126">
        <v>0</v>
      </c>
    </row>
    <row r="52" spans="1:8" ht="15.75" x14ac:dyDescent="0.3">
      <c r="A52" s="123">
        <v>8.6999999999999993</v>
      </c>
      <c r="B52" s="127" t="s">
        <v>232</v>
      </c>
      <c r="C52" s="128"/>
      <c r="D52" s="128"/>
      <c r="E52" s="126">
        <f t="shared" si="0"/>
        <v>0</v>
      </c>
      <c r="F52" s="128"/>
      <c r="G52" s="128"/>
      <c r="H52" s="126">
        <v>0</v>
      </c>
    </row>
    <row r="53" spans="1:8" ht="16.5" thickBot="1" x14ac:dyDescent="0.35">
      <c r="A53" s="132">
        <v>9</v>
      </c>
      <c r="B53" s="133" t="s">
        <v>233</v>
      </c>
      <c r="C53" s="134"/>
      <c r="D53" s="134"/>
      <c r="E53" s="135">
        <f t="shared" si="0"/>
        <v>0</v>
      </c>
      <c r="F53" s="134"/>
      <c r="G53" s="134"/>
      <c r="H53" s="126">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8036-A1AB-432D-923F-1E887FED12BB}">
  <dimension ref="A1:G33"/>
  <sheetViews>
    <sheetView zoomScaleNormal="100" workbookViewId="0">
      <pane xSplit="1" ySplit="4" topLeftCell="B5" activePane="bottomRight" state="frozen"/>
      <selection activeCell="B3" sqref="B3"/>
      <selection pane="topRight" activeCell="B3" sqref="B3"/>
      <selection pane="bottomLeft" activeCell="B3" sqref="B3"/>
      <selection pane="bottomRight" activeCell="C6" sqref="C6:G13"/>
    </sheetView>
  </sheetViews>
  <sheetFormatPr defaultColWidth="9.140625" defaultRowHeight="12.75" x14ac:dyDescent="0.2"/>
  <cols>
    <col min="1" max="1" width="9.5703125" style="17" bestFit="1" customWidth="1"/>
    <col min="2" max="2" width="93.5703125" style="17" customWidth="1"/>
    <col min="3" max="3" width="12.7109375" style="17" customWidth="1"/>
    <col min="4" max="7" width="13" style="88" customWidth="1"/>
    <col min="8" max="10" width="9.7109375" style="88" customWidth="1"/>
    <col min="11" max="16384" width="9.140625" style="88"/>
  </cols>
  <sheetData>
    <row r="1" spans="1:7" ht="15" x14ac:dyDescent="0.3">
      <c r="A1" s="18" t="s">
        <v>30</v>
      </c>
      <c r="B1" s="136" t="s">
        <v>2</v>
      </c>
      <c r="C1" s="20"/>
    </row>
    <row r="2" spans="1:7" ht="15" x14ac:dyDescent="0.3">
      <c r="A2" s="18" t="s">
        <v>31</v>
      </c>
      <c r="B2" s="21">
        <v>44742</v>
      </c>
      <c r="C2" s="20"/>
    </row>
    <row r="3" spans="1:7" ht="15" x14ac:dyDescent="0.3">
      <c r="A3" s="18"/>
      <c r="B3" s="20"/>
      <c r="C3" s="20"/>
    </row>
    <row r="4" spans="1:7" ht="15" customHeight="1" thickBot="1" x14ac:dyDescent="0.25">
      <c r="A4" s="137" t="s">
        <v>234</v>
      </c>
      <c r="B4" s="138" t="s">
        <v>16</v>
      </c>
      <c r="C4" s="137"/>
    </row>
    <row r="5" spans="1:7" ht="15" customHeight="1" x14ac:dyDescent="0.2">
      <c r="A5" s="139" t="s">
        <v>33</v>
      </c>
      <c r="B5" s="140"/>
      <c r="C5" s="141" t="str">
        <f>INT((MONTH($B$2))/3)&amp;"Q"&amp;"-"&amp;YEAR($B$2)</f>
        <v>2Q-2022</v>
      </c>
      <c r="D5" s="141" t="str">
        <f>INT((MONTH($B$2))/4)&amp;"Q"&amp;"-"&amp;YEAR($B$2)</f>
        <v>1Q-2022</v>
      </c>
      <c r="E5" s="141" t="str">
        <f>INT((MONTH($B$2))/5)&amp;"Q"&amp;"-"&amp;YEAR($B$2)</f>
        <v>1Q-2022</v>
      </c>
      <c r="F5" s="141" t="str">
        <f>INT((MONTH($B$2))/7)&amp;"Q"&amp;"-"&amp;YEAR($B$2)</f>
        <v>0Q-2022</v>
      </c>
      <c r="G5" s="141" t="s">
        <v>235</v>
      </c>
    </row>
    <row r="6" spans="1:7" ht="15" customHeight="1" x14ac:dyDescent="0.2">
      <c r="A6" s="142">
        <v>1</v>
      </c>
      <c r="B6" s="143" t="s">
        <v>236</v>
      </c>
      <c r="C6" s="144">
        <f>C7+C9+C10</f>
        <v>44248185.415999994</v>
      </c>
      <c r="D6" s="144">
        <f>D7+D9+D10</f>
        <v>55390784.489</v>
      </c>
      <c r="E6" s="144">
        <f>E7+E9+E10</f>
        <v>53811175.459999993</v>
      </c>
      <c r="F6" s="144">
        <f>F7+F9+F10</f>
        <v>48568360.967</v>
      </c>
      <c r="G6" s="144">
        <f>G7+G9+G10</f>
        <v>53087462.533000007</v>
      </c>
    </row>
    <row r="7" spans="1:7" ht="15" customHeight="1" x14ac:dyDescent="0.2">
      <c r="A7" s="142">
        <v>1.1000000000000001</v>
      </c>
      <c r="B7" s="145" t="s">
        <v>237</v>
      </c>
      <c r="C7" s="146">
        <v>42732896.415999994</v>
      </c>
      <c r="D7" s="146">
        <v>54719003.888999999</v>
      </c>
      <c r="E7" s="147">
        <v>53453855.459999993</v>
      </c>
      <c r="F7" s="146">
        <v>48212211.766999997</v>
      </c>
      <c r="G7" s="146">
        <v>52361139.533000007</v>
      </c>
    </row>
    <row r="8" spans="1:7" ht="25.5" x14ac:dyDescent="0.2">
      <c r="A8" s="142" t="s">
        <v>238</v>
      </c>
      <c r="B8" s="148" t="s">
        <v>239</v>
      </c>
      <c r="C8" s="146">
        <v>0</v>
      </c>
      <c r="D8" s="146">
        <v>0</v>
      </c>
      <c r="E8" s="147">
        <v>0</v>
      </c>
      <c r="F8" s="146">
        <v>0</v>
      </c>
      <c r="G8" s="146">
        <v>0</v>
      </c>
    </row>
    <row r="9" spans="1:7" ht="15" customHeight="1" x14ac:dyDescent="0.2">
      <c r="A9" s="142">
        <v>1.2</v>
      </c>
      <c r="B9" s="145" t="s">
        <v>240</v>
      </c>
      <c r="C9" s="146">
        <v>1318789</v>
      </c>
      <c r="D9" s="146">
        <v>510513</v>
      </c>
      <c r="E9" s="147">
        <v>155976</v>
      </c>
      <c r="F9" s="146">
        <v>156228</v>
      </c>
      <c r="G9" s="146">
        <v>156603</v>
      </c>
    </row>
    <row r="10" spans="1:7" ht="15" customHeight="1" x14ac:dyDescent="0.2">
      <c r="A10" s="142">
        <v>1.3</v>
      </c>
      <c r="B10" s="145" t="s">
        <v>28</v>
      </c>
      <c r="C10" s="146">
        <v>196500</v>
      </c>
      <c r="D10" s="146">
        <v>161267.6</v>
      </c>
      <c r="E10" s="147">
        <v>201344</v>
      </c>
      <c r="F10" s="146">
        <v>199921.2</v>
      </c>
      <c r="G10" s="146">
        <v>569720</v>
      </c>
    </row>
    <row r="11" spans="1:7" ht="15" customHeight="1" x14ac:dyDescent="0.2">
      <c r="A11" s="142">
        <v>2</v>
      </c>
      <c r="B11" s="143" t="s">
        <v>241</v>
      </c>
      <c r="C11" s="146">
        <v>264348.69100150996</v>
      </c>
      <c r="D11" s="146">
        <v>7160193.2829701798</v>
      </c>
      <c r="E11" s="147">
        <v>3328281.2730880897</v>
      </c>
      <c r="F11" s="146">
        <v>6683803.1720572971</v>
      </c>
      <c r="G11" s="146">
        <v>3060146.2058309983</v>
      </c>
    </row>
    <row r="12" spans="1:7" ht="15" customHeight="1" x14ac:dyDescent="0.2">
      <c r="A12" s="142">
        <v>3</v>
      </c>
      <c r="B12" s="143" t="s">
        <v>242</v>
      </c>
      <c r="C12" s="146">
        <v>9340583.0187499989</v>
      </c>
      <c r="D12" s="146">
        <v>9340583.0187499989</v>
      </c>
      <c r="E12" s="147">
        <v>9340583.0187499989</v>
      </c>
      <c r="F12" s="146">
        <v>10603091.6875</v>
      </c>
      <c r="G12" s="146">
        <v>10603091.6875</v>
      </c>
    </row>
    <row r="13" spans="1:7" ht="15" customHeight="1" thickBot="1" x14ac:dyDescent="0.25">
      <c r="A13" s="149">
        <v>4</v>
      </c>
      <c r="B13" s="150" t="s">
        <v>243</v>
      </c>
      <c r="C13" s="151">
        <f>C6+C11+C12</f>
        <v>53853117.125751503</v>
      </c>
      <c r="D13" s="151">
        <f>D6+D11+D12</f>
        <v>71891560.79072018</v>
      </c>
      <c r="E13" s="151">
        <f>E6+E11+E12</f>
        <v>66480039.751838081</v>
      </c>
      <c r="F13" s="151">
        <f>F6+F11+F12</f>
        <v>65855255.826557294</v>
      </c>
      <c r="G13" s="151">
        <f>G6+G11+G12</f>
        <v>66750700.426331006</v>
      </c>
    </row>
    <row r="14" spans="1:7" x14ac:dyDescent="0.2">
      <c r="B14" s="152"/>
    </row>
    <row r="15" spans="1:7" x14ac:dyDescent="0.2">
      <c r="B15" s="152"/>
    </row>
    <row r="16" spans="1:7" x14ac:dyDescent="0.2">
      <c r="B16" s="152"/>
      <c r="D16" s="153"/>
      <c r="E16" s="153"/>
      <c r="F16" s="153"/>
      <c r="G16" s="153"/>
    </row>
    <row r="17" spans="2:7" x14ac:dyDescent="0.2">
      <c r="B17" s="152"/>
      <c r="D17" s="153"/>
      <c r="E17" s="153"/>
      <c r="F17" s="153"/>
      <c r="G17" s="153"/>
    </row>
    <row r="18" spans="2:7" x14ac:dyDescent="0.2">
      <c r="B18" s="152"/>
      <c r="D18" s="153"/>
      <c r="E18" s="153"/>
      <c r="F18" s="153"/>
      <c r="G18" s="153"/>
    </row>
    <row r="19" spans="2:7" x14ac:dyDescent="0.2">
      <c r="D19" s="153"/>
      <c r="E19" s="153"/>
      <c r="F19" s="153"/>
      <c r="G19" s="153"/>
    </row>
    <row r="20" spans="2:7" x14ac:dyDescent="0.2">
      <c r="D20" s="153"/>
      <c r="E20" s="153"/>
      <c r="F20" s="153"/>
      <c r="G20" s="153"/>
    </row>
    <row r="21" spans="2:7" x14ac:dyDescent="0.2">
      <c r="D21" s="153"/>
      <c r="E21" s="153"/>
      <c r="F21" s="153"/>
      <c r="G21" s="153"/>
    </row>
    <row r="22" spans="2:7" x14ac:dyDescent="0.2">
      <c r="D22" s="153"/>
      <c r="E22" s="153"/>
      <c r="F22" s="153"/>
      <c r="G22" s="153"/>
    </row>
    <row r="23" spans="2:7" x14ac:dyDescent="0.2">
      <c r="D23" s="153"/>
      <c r="E23" s="153"/>
      <c r="F23" s="153"/>
      <c r="G23" s="153"/>
    </row>
    <row r="26" spans="2:7" x14ac:dyDescent="0.2">
      <c r="D26" s="154"/>
      <c r="E26" s="154"/>
      <c r="F26" s="154"/>
      <c r="G26" s="154"/>
    </row>
    <row r="27" spans="2:7" x14ac:dyDescent="0.2">
      <c r="D27" s="154"/>
      <c r="E27" s="154"/>
      <c r="F27" s="154"/>
      <c r="G27" s="154"/>
    </row>
    <row r="28" spans="2:7" x14ac:dyDescent="0.2">
      <c r="D28" s="154"/>
      <c r="E28" s="154"/>
      <c r="F28" s="154"/>
      <c r="G28" s="154"/>
    </row>
    <row r="29" spans="2:7" x14ac:dyDescent="0.2">
      <c r="D29" s="154"/>
      <c r="E29" s="154"/>
      <c r="F29" s="154"/>
      <c r="G29" s="154"/>
    </row>
    <row r="30" spans="2:7" x14ac:dyDescent="0.2">
      <c r="D30" s="154"/>
      <c r="E30" s="154"/>
      <c r="F30" s="154"/>
      <c r="G30" s="154"/>
    </row>
    <row r="31" spans="2:7" x14ac:dyDescent="0.2">
      <c r="D31" s="154"/>
      <c r="E31" s="154"/>
      <c r="F31" s="154"/>
      <c r="G31" s="154"/>
    </row>
    <row r="32" spans="2:7" x14ac:dyDescent="0.2">
      <c r="D32" s="154"/>
      <c r="E32" s="154"/>
      <c r="F32" s="154"/>
      <c r="G32" s="154"/>
    </row>
    <row r="33" spans="4:7" x14ac:dyDescent="0.2">
      <c r="D33" s="154"/>
      <c r="E33" s="154"/>
      <c r="F33" s="154"/>
      <c r="G33" s="15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1B43-84C0-42D6-837B-B25B722EADA7}">
  <dimension ref="A1:F33"/>
  <sheetViews>
    <sheetView zoomScale="90" zoomScaleNormal="90" workbookViewId="0">
      <pane xSplit="1" ySplit="4" topLeftCell="B5" activePane="bottomRight" state="frozen"/>
      <selection activeCell="B3" sqref="B3"/>
      <selection pane="topRight" activeCell="B3" sqref="B3"/>
      <selection pane="bottomLeft" activeCell="B3" sqref="B3"/>
      <selection pane="bottomRight" activeCell="H17" sqref="H17"/>
    </sheetView>
  </sheetViews>
  <sheetFormatPr defaultRowHeight="15" x14ac:dyDescent="0.25"/>
  <cols>
    <col min="1" max="1" width="9.5703125" style="17" bestFit="1" customWidth="1"/>
    <col min="2" max="2" width="90.42578125" style="17" bestFit="1" customWidth="1"/>
    <col min="3" max="3" width="33.28515625" style="17" customWidth="1"/>
  </cols>
  <sheetData>
    <row r="1" spans="1:3" x14ac:dyDescent="0.25">
      <c r="A1" s="17" t="s">
        <v>30</v>
      </c>
      <c r="B1" s="155" t="s">
        <v>2</v>
      </c>
    </row>
    <row r="2" spans="1:3" x14ac:dyDescent="0.25">
      <c r="A2" s="17" t="s">
        <v>31</v>
      </c>
      <c r="B2" s="62">
        <v>44742</v>
      </c>
    </row>
    <row r="4" spans="1:3" ht="16.5" customHeight="1" thickBot="1" x14ac:dyDescent="0.35">
      <c r="A4" s="156" t="s">
        <v>244</v>
      </c>
      <c r="B4" s="157" t="s">
        <v>17</v>
      </c>
      <c r="C4" s="158"/>
    </row>
    <row r="5" spans="1:3" ht="15.75" x14ac:dyDescent="0.3">
      <c r="A5" s="159"/>
      <c r="B5" s="623" t="s">
        <v>245</v>
      </c>
      <c r="C5" s="160" t="s">
        <v>246</v>
      </c>
    </row>
    <row r="6" spans="1:3" x14ac:dyDescent="0.25">
      <c r="A6" s="161">
        <v>1</v>
      </c>
      <c r="B6" s="162" t="s">
        <v>247</v>
      </c>
      <c r="C6" s="163" t="s">
        <v>248</v>
      </c>
    </row>
    <row r="7" spans="1:3" x14ac:dyDescent="0.25">
      <c r="A7" s="161">
        <v>2</v>
      </c>
      <c r="B7" s="162" t="s">
        <v>249</v>
      </c>
      <c r="C7" s="163" t="s">
        <v>762</v>
      </c>
    </row>
    <row r="8" spans="1:3" x14ac:dyDescent="0.25">
      <c r="A8" s="161">
        <v>3</v>
      </c>
      <c r="B8" s="162" t="s">
        <v>250</v>
      </c>
      <c r="C8" s="163" t="s">
        <v>762</v>
      </c>
    </row>
    <row r="9" spans="1:3" x14ac:dyDescent="0.25">
      <c r="A9" s="161">
        <v>4</v>
      </c>
      <c r="B9" s="162" t="s">
        <v>251</v>
      </c>
      <c r="C9" s="163" t="s">
        <v>762</v>
      </c>
    </row>
    <row r="10" spans="1:3" x14ac:dyDescent="0.25">
      <c r="A10" s="161">
        <v>5</v>
      </c>
      <c r="B10" s="162" t="s">
        <v>252</v>
      </c>
      <c r="C10" s="163" t="s">
        <v>253</v>
      </c>
    </row>
    <row r="11" spans="1:3" x14ac:dyDescent="0.25">
      <c r="A11" s="161"/>
      <c r="B11" s="643"/>
      <c r="C11" s="644"/>
    </row>
    <row r="12" spans="1:3" ht="60" x14ac:dyDescent="0.25">
      <c r="A12" s="161"/>
      <c r="B12" s="166" t="s">
        <v>254</v>
      </c>
      <c r="C12" s="164" t="s">
        <v>255</v>
      </c>
    </row>
    <row r="13" spans="1:3" ht="15.75" x14ac:dyDescent="0.3">
      <c r="A13" s="161">
        <v>1</v>
      </c>
      <c r="B13" s="624" t="s">
        <v>256</v>
      </c>
      <c r="C13" s="625" t="s">
        <v>257</v>
      </c>
    </row>
    <row r="14" spans="1:3" ht="15.75" x14ac:dyDescent="0.3">
      <c r="A14" s="161">
        <v>2</v>
      </c>
      <c r="B14" s="624" t="s">
        <v>258</v>
      </c>
      <c r="C14" s="625" t="s">
        <v>259</v>
      </c>
    </row>
    <row r="15" spans="1:3" ht="15.75" x14ac:dyDescent="0.3">
      <c r="A15" s="161">
        <v>3</v>
      </c>
      <c r="B15" s="624" t="s">
        <v>260</v>
      </c>
      <c r="C15" s="625" t="s">
        <v>261</v>
      </c>
    </row>
    <row r="16" spans="1:3" ht="15.75" customHeight="1" x14ac:dyDescent="0.3">
      <c r="A16" s="161">
        <v>4</v>
      </c>
      <c r="B16" s="624" t="s">
        <v>262</v>
      </c>
      <c r="C16" s="625" t="s">
        <v>263</v>
      </c>
    </row>
    <row r="17" spans="1:6" ht="30" customHeight="1" x14ac:dyDescent="0.3">
      <c r="A17" s="626">
        <v>5</v>
      </c>
      <c r="B17" s="627" t="s">
        <v>264</v>
      </c>
      <c r="C17" s="628" t="s">
        <v>265</v>
      </c>
    </row>
    <row r="18" spans="1:6" ht="15.75" x14ac:dyDescent="0.3">
      <c r="A18" s="626">
        <v>6</v>
      </c>
      <c r="B18" s="627" t="s">
        <v>763</v>
      </c>
      <c r="C18" s="628" t="s">
        <v>764</v>
      </c>
      <c r="E18" s="165"/>
      <c r="F18" s="43"/>
    </row>
    <row r="19" spans="1:6" ht="15" customHeight="1" x14ac:dyDescent="0.3">
      <c r="A19" s="626">
        <v>7</v>
      </c>
      <c r="B19" s="627" t="s">
        <v>765</v>
      </c>
      <c r="C19" s="628" t="s">
        <v>766</v>
      </c>
      <c r="E19" s="165"/>
      <c r="F19" s="43"/>
    </row>
    <row r="20" spans="1:6" ht="15.75" x14ac:dyDescent="0.3">
      <c r="A20" s="161"/>
      <c r="B20" s="624"/>
      <c r="C20" s="625"/>
      <c r="E20" s="165"/>
      <c r="F20" s="43"/>
    </row>
    <row r="21" spans="1:6" ht="29.25" customHeight="1" x14ac:dyDescent="0.25">
      <c r="A21" s="161"/>
      <c r="B21" s="645" t="s">
        <v>266</v>
      </c>
      <c r="C21" s="646"/>
      <c r="E21" s="165"/>
      <c r="F21" s="43"/>
    </row>
    <row r="22" spans="1:6" x14ac:dyDescent="0.25">
      <c r="A22" s="161">
        <v>1</v>
      </c>
      <c r="B22" s="162" t="s">
        <v>267</v>
      </c>
      <c r="C22" s="167">
        <v>0.61763897792838174</v>
      </c>
      <c r="E22" s="165"/>
      <c r="F22" s="43"/>
    </row>
    <row r="23" spans="1:6" ht="15" customHeight="1" x14ac:dyDescent="0.25">
      <c r="A23" s="161">
        <v>2</v>
      </c>
      <c r="B23" s="162" t="s">
        <v>268</v>
      </c>
      <c r="C23" s="167">
        <v>0.3823005115591433</v>
      </c>
      <c r="E23" s="165"/>
      <c r="F23" s="43"/>
    </row>
    <row r="24" spans="1:6" x14ac:dyDescent="0.25">
      <c r="A24" s="161"/>
      <c r="B24" s="162"/>
      <c r="C24" s="168"/>
      <c r="E24" s="165"/>
      <c r="F24" s="43"/>
    </row>
    <row r="25" spans="1:6" ht="15" customHeight="1" x14ac:dyDescent="0.25">
      <c r="A25" s="161"/>
      <c r="B25" s="645" t="s">
        <v>269</v>
      </c>
      <c r="C25" s="646"/>
      <c r="E25" s="165"/>
      <c r="F25" s="43"/>
    </row>
    <row r="26" spans="1:6" x14ac:dyDescent="0.25">
      <c r="A26" s="161">
        <v>1</v>
      </c>
      <c r="B26" s="162" t="s">
        <v>267</v>
      </c>
      <c r="C26" s="169">
        <v>0.61763900000000005</v>
      </c>
      <c r="E26" s="165"/>
      <c r="F26" s="43"/>
    </row>
    <row r="27" spans="1:6" x14ac:dyDescent="0.25">
      <c r="A27" s="170">
        <v>1.1000000000000001</v>
      </c>
      <c r="B27" s="171" t="s">
        <v>270</v>
      </c>
      <c r="C27" s="172">
        <v>0.3823185273376683</v>
      </c>
      <c r="E27" s="165"/>
      <c r="F27" s="43"/>
    </row>
    <row r="28" spans="1:6" x14ac:dyDescent="0.25">
      <c r="A28" s="170">
        <v>1.2</v>
      </c>
      <c r="B28" s="171" t="s">
        <v>271</v>
      </c>
      <c r="C28" s="172">
        <v>0.17652121989193151</v>
      </c>
      <c r="E28" s="165"/>
      <c r="F28" s="43"/>
    </row>
    <row r="29" spans="1:6" x14ac:dyDescent="0.25">
      <c r="A29" s="170">
        <v>1.3</v>
      </c>
      <c r="B29" s="171" t="s">
        <v>251</v>
      </c>
      <c r="C29" s="172">
        <v>5.8799230698781943E-2</v>
      </c>
      <c r="E29" s="165"/>
      <c r="F29" s="43"/>
    </row>
    <row r="30" spans="1:6" x14ac:dyDescent="0.25">
      <c r="A30" s="170">
        <v>2</v>
      </c>
      <c r="B30" s="171" t="s">
        <v>268</v>
      </c>
      <c r="C30" s="172">
        <v>0.3823005115591433</v>
      </c>
    </row>
    <row r="31" spans="1:6" x14ac:dyDescent="0.25">
      <c r="A31" s="170">
        <v>2.1</v>
      </c>
      <c r="B31" s="171" t="s">
        <v>272</v>
      </c>
      <c r="C31" s="172">
        <v>0.3823005115591433</v>
      </c>
    </row>
    <row r="32" spans="1:6" x14ac:dyDescent="0.25">
      <c r="A32" s="173" t="s">
        <v>273</v>
      </c>
      <c r="B32" s="171" t="s">
        <v>274</v>
      </c>
      <c r="C32" s="172">
        <v>0.3823005115591433</v>
      </c>
    </row>
    <row r="33" spans="1:3" ht="16.5" thickBot="1" x14ac:dyDescent="0.35">
      <c r="A33" s="174"/>
      <c r="B33" s="175"/>
      <c r="C33" s="176"/>
    </row>
  </sheetData>
  <mergeCells count="3">
    <mergeCell ref="B11:C11"/>
    <mergeCell ref="B21:C21"/>
    <mergeCell ref="B25:C25"/>
  </mergeCells>
  <dataValidations count="1">
    <dataValidation type="list" allowBlank="1" showInputMessage="1" showErrorMessage="1" sqref="C6:C10" xr:uid="{998C3C11-56FD-4369-9FE9-53DA1C98DAC5}">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6515-2518-4629-9AC9-20DA0AA1912C}">
  <dimension ref="A1:G37"/>
  <sheetViews>
    <sheetView zoomScaleNormal="100" workbookViewId="0">
      <pane xSplit="1" ySplit="5" topLeftCell="B6" activePane="bottomRight" state="frozen"/>
      <selection activeCell="B3" sqref="B3"/>
      <selection pane="topRight" activeCell="B3" sqref="B3"/>
      <selection pane="bottomLeft" activeCell="B3" sqref="B3"/>
      <selection pane="bottomRight" activeCell="C8" sqref="C8:E21"/>
    </sheetView>
  </sheetViews>
  <sheetFormatPr defaultRowHeight="15" x14ac:dyDescent="0.25"/>
  <cols>
    <col min="1" max="1" width="9.5703125" style="17" bestFit="1" customWidth="1"/>
    <col min="2" max="2" width="47.5703125" style="17" customWidth="1"/>
    <col min="3" max="3" width="28" style="17" customWidth="1"/>
    <col min="4" max="4" width="22.42578125" style="17" customWidth="1"/>
    <col min="5" max="5" width="18.85546875" style="17" customWidth="1"/>
    <col min="6" max="6" width="12" bestFit="1" customWidth="1"/>
    <col min="7" max="7" width="12.5703125" bestFit="1" customWidth="1"/>
  </cols>
  <sheetData>
    <row r="1" spans="1:5" ht="15.75" x14ac:dyDescent="0.3">
      <c r="A1" s="18" t="s">
        <v>30</v>
      </c>
      <c r="B1" s="136" t="s">
        <v>2</v>
      </c>
    </row>
    <row r="2" spans="1:5" s="18" customFormat="1" ht="15.75" customHeight="1" x14ac:dyDescent="0.3">
      <c r="A2" s="18" t="s">
        <v>31</v>
      </c>
      <c r="B2" s="177">
        <v>44742</v>
      </c>
    </row>
    <row r="3" spans="1:5" s="18" customFormat="1" ht="15.75" customHeight="1" x14ac:dyDescent="0.3"/>
    <row r="4" spans="1:5" s="18" customFormat="1" ht="29.45" customHeight="1" thickBot="1" x14ac:dyDescent="0.35">
      <c r="A4" s="178" t="s">
        <v>275</v>
      </c>
      <c r="B4" s="647" t="s">
        <v>18</v>
      </c>
      <c r="C4" s="647"/>
      <c r="D4" s="647"/>
      <c r="E4" s="179" t="s">
        <v>78</v>
      </c>
    </row>
    <row r="5" spans="1:5" s="184" customFormat="1" ht="17.45" customHeight="1" x14ac:dyDescent="0.25">
      <c r="A5" s="180"/>
      <c r="B5" s="181"/>
      <c r="C5" s="182" t="s">
        <v>276</v>
      </c>
      <c r="D5" s="182" t="s">
        <v>277</v>
      </c>
      <c r="E5" s="183" t="s">
        <v>278</v>
      </c>
    </row>
    <row r="6" spans="1:5" ht="14.45" customHeight="1" x14ac:dyDescent="0.25">
      <c r="A6" s="185"/>
      <c r="B6" s="648" t="s">
        <v>279</v>
      </c>
      <c r="C6" s="648" t="s">
        <v>280</v>
      </c>
      <c r="D6" s="649" t="s">
        <v>281</v>
      </c>
      <c r="E6" s="650"/>
    </row>
    <row r="7" spans="1:5" ht="99.6" customHeight="1" x14ac:dyDescent="0.25">
      <c r="A7" s="185"/>
      <c r="B7" s="648"/>
      <c r="C7" s="648"/>
      <c r="D7" s="186" t="s">
        <v>282</v>
      </c>
      <c r="E7" s="187" t="s">
        <v>283</v>
      </c>
    </row>
    <row r="8" spans="1:5" x14ac:dyDescent="0.25">
      <c r="A8" s="188">
        <v>1</v>
      </c>
      <c r="B8" s="189" t="s">
        <v>85</v>
      </c>
      <c r="C8" s="190">
        <f>'2. RC'!E7</f>
        <v>1580758.3599999999</v>
      </c>
      <c r="D8" s="190"/>
      <c r="E8" s="191">
        <f>C8-D8</f>
        <v>1580758.3599999999</v>
      </c>
    </row>
    <row r="9" spans="1:5" x14ac:dyDescent="0.25">
      <c r="A9" s="188">
        <v>2</v>
      </c>
      <c r="B9" s="189" t="s">
        <v>86</v>
      </c>
      <c r="C9" s="190">
        <f>'2. RC'!E8</f>
        <v>1885085.3800000001</v>
      </c>
      <c r="D9" s="190"/>
      <c r="E9" s="191">
        <f t="shared" ref="E9:E20" si="0">C9-D9</f>
        <v>1885085.3800000001</v>
      </c>
    </row>
    <row r="10" spans="1:5" x14ac:dyDescent="0.25">
      <c r="A10" s="188">
        <v>3</v>
      </c>
      <c r="B10" s="189" t="s">
        <v>284</v>
      </c>
      <c r="C10" s="190">
        <f>'2. RC'!E9</f>
        <v>738085.99</v>
      </c>
      <c r="D10" s="190"/>
      <c r="E10" s="191">
        <f t="shared" si="0"/>
        <v>738085.99</v>
      </c>
    </row>
    <row r="11" spans="1:5" x14ac:dyDescent="0.25">
      <c r="A11" s="188">
        <v>4</v>
      </c>
      <c r="B11" s="189" t="s">
        <v>88</v>
      </c>
      <c r="C11" s="190">
        <v>0</v>
      </c>
      <c r="D11" s="190"/>
      <c r="E11" s="191">
        <f t="shared" si="0"/>
        <v>0</v>
      </c>
    </row>
    <row r="12" spans="1:5" x14ac:dyDescent="0.25">
      <c r="A12" s="188">
        <v>5</v>
      </c>
      <c r="B12" s="189" t="s">
        <v>89</v>
      </c>
      <c r="C12" s="190">
        <f>'2. RC'!E11</f>
        <v>33776423.810000002</v>
      </c>
      <c r="D12" s="190"/>
      <c r="E12" s="191">
        <f t="shared" si="0"/>
        <v>33776423.810000002</v>
      </c>
    </row>
    <row r="13" spans="1:5" x14ac:dyDescent="0.25">
      <c r="A13" s="188">
        <v>6.1</v>
      </c>
      <c r="B13" s="189" t="s">
        <v>90</v>
      </c>
      <c r="C13" s="192">
        <f>'2. RC'!E12</f>
        <v>16189240.49</v>
      </c>
      <c r="D13" s="190"/>
      <c r="E13" s="191">
        <f t="shared" si="0"/>
        <v>16189240.49</v>
      </c>
    </row>
    <row r="14" spans="1:5" x14ac:dyDescent="0.25">
      <c r="A14" s="188">
        <v>6.2</v>
      </c>
      <c r="B14" s="193" t="s">
        <v>91</v>
      </c>
      <c r="C14" s="192">
        <f>'2. RC'!E13</f>
        <v>-1050414.8899999999</v>
      </c>
      <c r="D14" s="190"/>
      <c r="E14" s="191">
        <f t="shared" si="0"/>
        <v>-1050414.8899999999</v>
      </c>
    </row>
    <row r="15" spans="1:5" x14ac:dyDescent="0.25">
      <c r="A15" s="188">
        <v>6</v>
      </c>
      <c r="B15" s="189" t="s">
        <v>285</v>
      </c>
      <c r="C15" s="190">
        <f>C13+C14</f>
        <v>15138825.6</v>
      </c>
      <c r="D15" s="190"/>
      <c r="E15" s="191">
        <f t="shared" si="0"/>
        <v>15138825.6</v>
      </c>
    </row>
    <row r="16" spans="1:5" x14ac:dyDescent="0.25">
      <c r="A16" s="188">
        <v>7</v>
      </c>
      <c r="B16" s="189" t="s">
        <v>93</v>
      </c>
      <c r="C16" s="190">
        <f>'2. RC'!E15</f>
        <v>1110993.3999999999</v>
      </c>
      <c r="D16" s="190"/>
      <c r="E16" s="191">
        <f t="shared" si="0"/>
        <v>1110993.3999999999</v>
      </c>
    </row>
    <row r="17" spans="1:7" x14ac:dyDescent="0.25">
      <c r="A17" s="188">
        <v>8</v>
      </c>
      <c r="B17" s="189" t="s">
        <v>94</v>
      </c>
      <c r="C17" s="190">
        <f>'2. RC'!E16</f>
        <v>256968.93</v>
      </c>
      <c r="D17" s="190"/>
      <c r="E17" s="191">
        <f t="shared" si="0"/>
        <v>256968.93</v>
      </c>
      <c r="F17" s="194"/>
      <c r="G17" s="194"/>
    </row>
    <row r="18" spans="1:7" x14ac:dyDescent="0.25">
      <c r="A18" s="188">
        <v>9</v>
      </c>
      <c r="B18" s="189" t="s">
        <v>95</v>
      </c>
      <c r="C18" s="190">
        <v>20000</v>
      </c>
      <c r="D18" s="190"/>
      <c r="E18" s="191">
        <f t="shared" si="0"/>
        <v>20000</v>
      </c>
      <c r="G18" s="194"/>
    </row>
    <row r="19" spans="1:7" ht="25.5" x14ac:dyDescent="0.25">
      <c r="A19" s="188">
        <v>10</v>
      </c>
      <c r="B19" s="189" t="s">
        <v>96</v>
      </c>
      <c r="C19" s="190">
        <f>'2. RC'!E18</f>
        <v>16337553.759999994</v>
      </c>
      <c r="D19" s="190">
        <v>306121.21999999997</v>
      </c>
      <c r="E19" s="191">
        <f t="shared" si="0"/>
        <v>16031432.539999994</v>
      </c>
      <c r="G19" s="194"/>
    </row>
    <row r="20" spans="1:7" x14ac:dyDescent="0.25">
      <c r="A20" s="188">
        <v>11</v>
      </c>
      <c r="B20" s="189" t="s">
        <v>97</v>
      </c>
      <c r="C20" s="190">
        <f>'2. RC'!E19</f>
        <v>3668804.21</v>
      </c>
      <c r="D20" s="190"/>
      <c r="E20" s="191">
        <f t="shared" si="0"/>
        <v>3668804.21</v>
      </c>
    </row>
    <row r="21" spans="1:7" ht="39" thickBot="1" x14ac:dyDescent="0.3">
      <c r="A21" s="195"/>
      <c r="B21" s="196" t="s">
        <v>286</v>
      </c>
      <c r="C21" s="197">
        <f>SUM(C8:C12, C15:C20)</f>
        <v>74513499.439999998</v>
      </c>
      <c r="D21" s="197">
        <f>SUM(D8:D12, D15:D20)</f>
        <v>306121.21999999997</v>
      </c>
      <c r="E21" s="198">
        <f>SUM(E8:E12, E15:E20)</f>
        <v>74207378.219999999</v>
      </c>
    </row>
    <row r="22" spans="1:7" x14ac:dyDescent="0.25">
      <c r="A22"/>
      <c r="B22"/>
      <c r="C22"/>
      <c r="D22"/>
      <c r="E22"/>
    </row>
    <row r="23" spans="1:7" s="49" customFormat="1" x14ac:dyDescent="0.25">
      <c r="C23" s="199"/>
      <c r="D23" s="199"/>
      <c r="E23" s="199"/>
    </row>
    <row r="25" spans="1:7" s="17" customFormat="1" x14ac:dyDescent="0.25">
      <c r="B25" s="200"/>
      <c r="F25"/>
      <c r="G25"/>
    </row>
    <row r="26" spans="1:7" s="17" customFormat="1" x14ac:dyDescent="0.25">
      <c r="B26" s="201"/>
      <c r="F26"/>
      <c r="G26"/>
    </row>
    <row r="27" spans="1:7" s="17" customFormat="1" x14ac:dyDescent="0.25">
      <c r="B27" s="200"/>
      <c r="F27"/>
      <c r="G27"/>
    </row>
    <row r="28" spans="1:7" s="17" customFormat="1" x14ac:dyDescent="0.25">
      <c r="B28" s="200"/>
      <c r="F28"/>
      <c r="G28"/>
    </row>
    <row r="29" spans="1:7" s="17" customFormat="1" x14ac:dyDescent="0.25">
      <c r="B29" s="200"/>
      <c r="F29"/>
      <c r="G29"/>
    </row>
    <row r="30" spans="1:7" s="17" customFormat="1" x14ac:dyDescent="0.25">
      <c r="B30" s="200"/>
      <c r="F30"/>
      <c r="G30"/>
    </row>
    <row r="31" spans="1:7" s="17" customFormat="1" x14ac:dyDescent="0.25">
      <c r="B31" s="200"/>
      <c r="F31"/>
      <c r="G31"/>
    </row>
    <row r="32" spans="1:7" s="17" customFormat="1" x14ac:dyDescent="0.25">
      <c r="B32" s="201"/>
      <c r="F32"/>
      <c r="G32"/>
    </row>
    <row r="33" spans="2:7" s="17" customFormat="1" x14ac:dyDescent="0.25">
      <c r="B33" s="201"/>
      <c r="F33"/>
      <c r="G33"/>
    </row>
    <row r="34" spans="2:7" s="17" customFormat="1" x14ac:dyDescent="0.25">
      <c r="B34" s="201"/>
      <c r="F34"/>
      <c r="G34"/>
    </row>
    <row r="35" spans="2:7" s="17" customFormat="1" x14ac:dyDescent="0.25">
      <c r="B35" s="201"/>
      <c r="F35"/>
      <c r="G35"/>
    </row>
    <row r="36" spans="2:7" s="17" customFormat="1" x14ac:dyDescent="0.25">
      <c r="B36" s="201"/>
      <c r="F36"/>
      <c r="G36"/>
    </row>
    <row r="37" spans="2:7" s="17" customFormat="1" x14ac:dyDescent="0.25">
      <c r="B37" s="201"/>
      <c r="F37"/>
      <c r="G37"/>
    </row>
  </sheetData>
  <mergeCells count="4">
    <mergeCell ref="B4:D4"/>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7CBFB-C6B1-4B2F-BB29-45DC6BF8C79D}">
  <dimension ref="A1:I33"/>
  <sheetViews>
    <sheetView zoomScale="85" zoomScaleNormal="85" workbookViewId="0">
      <pane xSplit="1" ySplit="4" topLeftCell="B5" activePane="bottomRight" state="frozen"/>
      <selection activeCell="B3" sqref="B3"/>
      <selection pane="topRight" activeCell="B3" sqref="B3"/>
      <selection pane="bottomLeft" activeCell="B3" sqref="B3"/>
      <selection pane="bottomRight" activeCell="C5" sqref="C5:C13"/>
    </sheetView>
  </sheetViews>
  <sheetFormatPr defaultRowHeight="15" outlineLevelRow="1" x14ac:dyDescent="0.25"/>
  <cols>
    <col min="1" max="1" width="9.5703125" style="17" bestFit="1" customWidth="1"/>
    <col min="2" max="2" width="114.28515625" style="17" customWidth="1"/>
    <col min="3" max="3" width="18.85546875" customWidth="1"/>
    <col min="4" max="4" width="25.42578125" customWidth="1"/>
    <col min="5" max="5" width="24.28515625" customWidth="1"/>
    <col min="6" max="6" width="24" customWidth="1"/>
    <col min="7" max="7" width="10" bestFit="1" customWidth="1"/>
    <col min="8" max="8" width="12" bestFit="1" customWidth="1"/>
    <col min="9" max="9" width="12.5703125" bestFit="1" customWidth="1"/>
  </cols>
  <sheetData>
    <row r="1" spans="1:6" ht="15.75" x14ac:dyDescent="0.3">
      <c r="A1" s="18" t="s">
        <v>30</v>
      </c>
      <c r="B1" s="136" t="s">
        <v>2</v>
      </c>
    </row>
    <row r="2" spans="1:6" s="18" customFormat="1" ht="15.75" customHeight="1" x14ac:dyDescent="0.3">
      <c r="A2" s="18" t="s">
        <v>31</v>
      </c>
      <c r="B2" s="177">
        <v>44742</v>
      </c>
      <c r="C2"/>
      <c r="D2"/>
      <c r="E2"/>
      <c r="F2"/>
    </row>
    <row r="3" spans="1:6" s="18" customFormat="1" ht="15.75" customHeight="1" x14ac:dyDescent="0.3">
      <c r="C3"/>
      <c r="D3"/>
      <c r="E3"/>
      <c r="F3"/>
    </row>
    <row r="4" spans="1:6" s="18" customFormat="1" ht="26.25" thickBot="1" x14ac:dyDescent="0.35">
      <c r="A4" s="18" t="s">
        <v>287</v>
      </c>
      <c r="B4" s="202" t="s">
        <v>19</v>
      </c>
      <c r="C4" s="179" t="s">
        <v>78</v>
      </c>
      <c r="D4"/>
      <c r="E4"/>
      <c r="F4"/>
    </row>
    <row r="5" spans="1:6" ht="26.25" x14ac:dyDescent="0.25">
      <c r="A5" s="203">
        <v>1</v>
      </c>
      <c r="B5" s="204" t="s">
        <v>288</v>
      </c>
      <c r="C5" s="205">
        <f>'7. LI1'!E21</f>
        <v>74207378.219999999</v>
      </c>
    </row>
    <row r="6" spans="1:6" x14ac:dyDescent="0.25">
      <c r="A6" s="123">
        <v>2.1</v>
      </c>
      <c r="B6" s="206" t="s">
        <v>289</v>
      </c>
      <c r="C6" s="207">
        <f>'4. Off-Balance'!E10+'4. Off-Balance'!E8</f>
        <v>1435570.39</v>
      </c>
    </row>
    <row r="7" spans="1:6" s="211" customFormat="1" ht="25.5" outlineLevel="1" x14ac:dyDescent="0.25">
      <c r="A7" s="208">
        <v>2.2000000000000002</v>
      </c>
      <c r="B7" s="209" t="s">
        <v>290</v>
      </c>
      <c r="C7" s="210">
        <f>'4. Off-Balance'!E33+'4. Off-Balance'!E34</f>
        <v>9825000</v>
      </c>
      <c r="D7" s="617">
        <f>'15. CCR'!C7-C7</f>
        <v>0</v>
      </c>
    </row>
    <row r="8" spans="1:6" s="211" customFormat="1" ht="26.25" x14ac:dyDescent="0.25">
      <c r="A8" s="208">
        <v>3</v>
      </c>
      <c r="B8" s="212" t="s">
        <v>291</v>
      </c>
      <c r="C8" s="213">
        <f>SUM(C5:C7)</f>
        <v>85467948.609999999</v>
      </c>
    </row>
    <row r="9" spans="1:6" x14ac:dyDescent="0.25">
      <c r="A9" s="123">
        <v>4</v>
      </c>
      <c r="B9" s="214" t="s">
        <v>292</v>
      </c>
      <c r="C9" s="207">
        <f>'9. Capital'!C46</f>
        <v>375699.83</v>
      </c>
    </row>
    <row r="10" spans="1:6" s="211" customFormat="1" ht="25.5" outlineLevel="1" x14ac:dyDescent="0.25">
      <c r="A10" s="208">
        <v>5.0999999999999996</v>
      </c>
      <c r="B10" s="209" t="s">
        <v>293</v>
      </c>
      <c r="C10" s="584">
        <f>-C6+'5. RWA'!C9</f>
        <v>-116781.3899999999</v>
      </c>
      <c r="D10" s="215"/>
    </row>
    <row r="11" spans="1:6" s="211" customFormat="1" ht="25.5" outlineLevel="1" x14ac:dyDescent="0.25">
      <c r="A11" s="208">
        <v>5.2</v>
      </c>
      <c r="B11" s="209" t="s">
        <v>294</v>
      </c>
      <c r="C11" s="584">
        <f>-C7+'5. RWA'!C10</f>
        <v>-9628500</v>
      </c>
      <c r="D11" s="617">
        <f>C7+C11-'15. CCR'!N7</f>
        <v>0</v>
      </c>
      <c r="E11" s="215"/>
    </row>
    <row r="12" spans="1:6" s="211" customFormat="1" x14ac:dyDescent="0.25">
      <c r="A12" s="208">
        <v>6</v>
      </c>
      <c r="B12" s="216" t="s">
        <v>295</v>
      </c>
      <c r="C12" s="210">
        <v>0</v>
      </c>
    </row>
    <row r="13" spans="1:6" s="211" customFormat="1" ht="15.75" thickBot="1" x14ac:dyDescent="0.3">
      <c r="A13" s="217">
        <v>7</v>
      </c>
      <c r="B13" s="218" t="s">
        <v>296</v>
      </c>
      <c r="C13" s="219">
        <f>SUM(C8:C12)</f>
        <v>76098367.049999997</v>
      </c>
    </row>
    <row r="15" spans="1:6" s="49" customFormat="1" x14ac:dyDescent="0.25">
      <c r="A15" s="220"/>
      <c r="B15" s="220"/>
      <c r="C15" s="221"/>
    </row>
    <row r="17" spans="2:9" s="17" customFormat="1" x14ac:dyDescent="0.25">
      <c r="B17" s="222"/>
      <c r="C17"/>
      <c r="D17"/>
      <c r="E17"/>
      <c r="F17"/>
      <c r="G17"/>
      <c r="H17"/>
      <c r="I17"/>
    </row>
    <row r="18" spans="2:9" s="17" customFormat="1" x14ac:dyDescent="0.25">
      <c r="B18" s="223"/>
      <c r="C18"/>
      <c r="D18"/>
      <c r="E18"/>
      <c r="F18"/>
      <c r="G18"/>
      <c r="H18"/>
      <c r="I18"/>
    </row>
    <row r="19" spans="2:9" s="17" customFormat="1" x14ac:dyDescent="0.25">
      <c r="B19" s="223"/>
      <c r="C19"/>
      <c r="D19"/>
      <c r="E19"/>
      <c r="F19"/>
      <c r="G19"/>
      <c r="H19"/>
      <c r="I19"/>
    </row>
    <row r="20" spans="2:9" s="17" customFormat="1" x14ac:dyDescent="0.25">
      <c r="B20" s="201"/>
      <c r="C20"/>
      <c r="D20"/>
      <c r="E20"/>
      <c r="F20"/>
      <c r="G20"/>
      <c r="H20"/>
      <c r="I20"/>
    </row>
    <row r="21" spans="2:9" s="17" customFormat="1" x14ac:dyDescent="0.25">
      <c r="B21" s="200"/>
      <c r="C21"/>
      <c r="D21"/>
      <c r="E21"/>
      <c r="F21"/>
      <c r="G21"/>
      <c r="H21"/>
      <c r="I21"/>
    </row>
    <row r="22" spans="2:9" s="17" customFormat="1" x14ac:dyDescent="0.25">
      <c r="B22" s="201"/>
      <c r="C22"/>
      <c r="D22"/>
      <c r="E22"/>
      <c r="F22"/>
      <c r="G22"/>
      <c r="H22"/>
      <c r="I22"/>
    </row>
    <row r="23" spans="2:9" s="17" customFormat="1" x14ac:dyDescent="0.25">
      <c r="B23" s="200"/>
      <c r="C23"/>
      <c r="D23"/>
      <c r="E23"/>
      <c r="F23"/>
      <c r="G23"/>
      <c r="H23"/>
      <c r="I23"/>
    </row>
    <row r="24" spans="2:9" s="17" customFormat="1" x14ac:dyDescent="0.25">
      <c r="B24" s="200"/>
      <c r="C24"/>
      <c r="D24"/>
      <c r="E24"/>
      <c r="F24"/>
      <c r="G24"/>
      <c r="H24"/>
      <c r="I24"/>
    </row>
    <row r="25" spans="2:9" s="17" customFormat="1" x14ac:dyDescent="0.25">
      <c r="B25" s="200"/>
      <c r="C25"/>
      <c r="D25"/>
      <c r="E25"/>
      <c r="F25"/>
      <c r="G25"/>
      <c r="H25"/>
      <c r="I25"/>
    </row>
    <row r="26" spans="2:9" s="17" customFormat="1" x14ac:dyDescent="0.25">
      <c r="B26" s="200"/>
      <c r="C26"/>
      <c r="D26"/>
      <c r="E26"/>
      <c r="F26"/>
      <c r="G26"/>
      <c r="H26"/>
      <c r="I26"/>
    </row>
    <row r="27" spans="2:9" s="17" customFormat="1" x14ac:dyDescent="0.25">
      <c r="B27" s="200"/>
      <c r="C27"/>
      <c r="D27"/>
      <c r="E27"/>
      <c r="F27"/>
      <c r="G27"/>
      <c r="H27"/>
      <c r="I27"/>
    </row>
    <row r="28" spans="2:9" s="17" customFormat="1" x14ac:dyDescent="0.25">
      <c r="B28" s="201"/>
      <c r="C28"/>
      <c r="D28"/>
      <c r="E28"/>
      <c r="F28"/>
      <c r="G28"/>
      <c r="H28"/>
      <c r="I28"/>
    </row>
    <row r="29" spans="2:9" s="17" customFormat="1" x14ac:dyDescent="0.25">
      <c r="B29" s="201"/>
      <c r="C29"/>
      <c r="D29"/>
      <c r="E29"/>
      <c r="F29"/>
      <c r="G29"/>
      <c r="H29"/>
      <c r="I29"/>
    </row>
    <row r="30" spans="2:9" s="17" customFormat="1" x14ac:dyDescent="0.25">
      <c r="B30" s="201"/>
      <c r="C30"/>
      <c r="D30"/>
      <c r="E30"/>
      <c r="F30"/>
      <c r="G30"/>
      <c r="H30"/>
      <c r="I30"/>
    </row>
    <row r="31" spans="2:9" s="17" customFormat="1" x14ac:dyDescent="0.25">
      <c r="B31" s="201"/>
      <c r="C31"/>
      <c r="D31"/>
      <c r="E31"/>
      <c r="F31"/>
      <c r="G31"/>
      <c r="H31"/>
      <c r="I31"/>
    </row>
    <row r="32" spans="2:9" s="17" customFormat="1" x14ac:dyDescent="0.25">
      <c r="B32" s="201"/>
      <c r="C32"/>
      <c r="D32"/>
      <c r="E32"/>
      <c r="F32"/>
      <c r="G32"/>
      <c r="H32"/>
      <c r="I32"/>
    </row>
    <row r="33" spans="2:9" s="17" customFormat="1" x14ac:dyDescent="0.25">
      <c r="B33" s="201"/>
      <c r="C33"/>
      <c r="D33"/>
      <c r="E33"/>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HL6t+sKnjnYl4+eWz8rGTC4NsI9tKsJ21Pceb1j16P0=</DigestValue>
    </Reference>
    <Reference Type="http://www.w3.org/2000/09/xmldsig#Object" URI="#idOfficeObject">
      <DigestMethod Algorithm="http://www.w3.org/2001/04/xmlenc#sha256"/>
      <DigestValue>ZuDjrYHCsu1xJkXW+8nWeTfDKF216ht03Te55FXXkzA=</DigestValue>
    </Reference>
    <Reference Type="http://uri.etsi.org/01903#SignedProperties" URI="#idSignedProperties">
      <Transforms>
        <Transform Algorithm="http://www.w3.org/TR/2001/REC-xml-c14n-20010315"/>
      </Transforms>
      <DigestMethod Algorithm="http://www.w3.org/2001/04/xmlenc#sha256"/>
      <DigestValue>B6TMF75M/KDuYYaBfctM3kmlOpGL703CnNusk4rgRFw=</DigestValue>
    </Reference>
  </SignedInfo>
  <SignatureValue>aaLGqcgMhaEHktW0IY4vEl8koJM7ECo6ABjtZBCpSfKzPoyLMVByNX430dTwO+f5TgbN+OTic95+
l9h5+X5sUvzL0+ceHbis/eLWrOC7SLBA8kX7GuXOk251rTiPzixAJOzgtFih2mdbP5dvUaUL8dd7
PJc/oBtqjyhyl4Nt464Gjt+Erjyf/VqBFjkRcPR4PS76iU9+mXIydEBjfdxA/EMOfBjeAtFhhBsg
IB2d+s5Rif6KZ31V0IWcI9OLXaA+TnxCGh6HjF5j6GzQlreRyTo2X+JFZFGVvhapGqXVrwVcrHqi
wpAKXyDFG81ANyde5mvuBg1aGFCGOb4J+K+Uqg==</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x9YA+FSCThXlAqZlILs8LLCuiTx7Iqru7DblYQGxF/U=</DigestValue>
      </Reference>
      <Reference URI="/xl/comments1.xml?ContentType=application/vnd.openxmlformats-officedocument.spreadsheetml.comments+xml">
        <DigestMethod Algorithm="http://www.w3.org/2001/04/xmlenc#sha256"/>
        <DigestValue>KXc8LimuXVEhFmAQXqOWLtWPK1V5DoOqrS8+9elBWQM=</DigestValue>
      </Reference>
      <Reference URI="/xl/comments2.xml?ContentType=application/vnd.openxmlformats-officedocument.spreadsheetml.comments+xml">
        <DigestMethod Algorithm="http://www.w3.org/2001/04/xmlenc#sha256"/>
        <DigestValue>+wKZbLQqt98UNFIopEWHO8fzlCFELow4VCNTTMg0jyw=</DigestValue>
      </Reference>
      <Reference URI="/xl/drawings/drawing1.xml?ContentType=application/vnd.openxmlformats-officedocument.drawing+xml">
        <DigestMethod Algorithm="http://www.w3.org/2001/04/xmlenc#sha256"/>
        <DigestValue>APLybqJ7mVB1o3XTPTamjPFmrQ3sE8Nts050hLBXzVk=</DigestValue>
      </Reference>
      <Reference URI="/xl/drawings/vmlDrawing1.vml?ContentType=application/vnd.openxmlformats-officedocument.vmlDrawing">
        <DigestMethod Algorithm="http://www.w3.org/2001/04/xmlenc#sha256"/>
        <DigestValue>qjAtG0+c7/5o0nk1qjMdQiVIsdYRuDCrUimT8xj81FI=</DigestValue>
      </Reference>
      <Reference URI="/xl/drawings/vmlDrawing2.vml?ContentType=application/vnd.openxmlformats-officedocument.vmlDrawing">
        <DigestMethod Algorithm="http://www.w3.org/2001/04/xmlenc#sha256"/>
        <DigestValue>1elY16qSctsfU/RxCQVrXowdNnJ1hy7YhAAPM1kDQjM=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l5yDl2f4TmYCRNHJF9b3zQw0JsBmaPUJRpXswoVlhm0=</DigestValue>
      </Reference>
      <Reference URI="/xl/externalLinks/externalLink2.xml?ContentType=application/vnd.openxmlformats-officedocument.spreadsheetml.externalLink+xml">
        <DigestMethod Algorithm="http://www.w3.org/2001/04/xmlenc#sha256"/>
        <DigestValue>TbdKtlnI53gNtc08tQCZT73xQX+A79+p+mlNCXSsaTE=</DigestValue>
      </Reference>
      <Reference URI="/xl/externalLinks/externalLink3.xml?ContentType=application/vnd.openxmlformats-officedocument.spreadsheetml.externalLink+xml">
        <DigestMethod Algorithm="http://www.w3.org/2001/04/xmlenc#sha256"/>
        <DigestValue>Pm9glGcq5uLC+iQO5PWPO1RxTb84Y5fwanBcRLRtMC4=</DigestValue>
      </Reference>
      <Reference URI="/xl/printerSettings/printerSettings1.bin?ContentType=application/vnd.openxmlformats-officedocument.spreadsheetml.printerSettings">
        <DigestMethod Algorithm="http://www.w3.org/2001/04/xmlenc#sha256"/>
        <DigestValue>2m6CW85rBYKpJKifjkFVt0n58BwBksWMXfva2VqaA+I=</DigestValue>
      </Reference>
      <Reference URI="/xl/printerSettings/printerSettings10.bin?ContentType=application/vnd.openxmlformats-officedocument.spreadsheetml.printerSettings">
        <DigestMethod Algorithm="http://www.w3.org/2001/04/xmlenc#sha256"/>
        <DigestValue>p15fOjzmBTLGI8Klf+TI4woTVTHX8Q0l14vNf+jwiuE=</DigestValue>
      </Reference>
      <Reference URI="/xl/printerSettings/printerSettings11.bin?ContentType=application/vnd.openxmlformats-officedocument.spreadsheetml.printerSettings">
        <DigestMethod Algorithm="http://www.w3.org/2001/04/xmlenc#sha256"/>
        <DigestValue>16nRtTkTNfAdSTF0Lg1CT4t8t5VLf2B9wJs/PWFk54A=</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2m6CW85rBYKpJKifjkFVt0n58BwBksWMXfva2VqaA+I=</DigestValue>
      </Reference>
      <Reference URI="/xl/printerSettings/printerSettings15.bin?ContentType=application/vnd.openxmlformats-officedocument.spreadsheetml.printerSettings">
        <DigestMethod Algorithm="http://www.w3.org/2001/04/xmlenc#sha256"/>
        <DigestValue>BfOqFYncvTrOA0w5jBPLJpo6svE1gFZliFydlsU/uz4=</DigestValue>
      </Reference>
      <Reference URI="/xl/printerSettings/printerSettings16.bin?ContentType=application/vnd.openxmlformats-officedocument.spreadsheetml.printerSettings">
        <DigestMethod Algorithm="http://www.w3.org/2001/04/xmlenc#sha256"/>
        <DigestValue>zxLIGjiJ19gUsPtQr72salfkFKrVFBCr1X8320JEcsQ=</DigestValue>
      </Reference>
      <Reference URI="/xl/printerSettings/printerSettings17.bin?ContentType=application/vnd.openxmlformats-officedocument.spreadsheetml.printerSettings">
        <DigestMethod Algorithm="http://www.w3.org/2001/04/xmlenc#sha256"/>
        <DigestValue>qqKz7UtelGHdfiWdqNc1EvL8LqlQ7O4MTpeoyQcgyv0=</DigestValue>
      </Reference>
      <Reference URI="/xl/printerSettings/printerSettings18.bin?ContentType=application/vnd.openxmlformats-officedocument.spreadsheetml.printerSettings">
        <DigestMethod Algorithm="http://www.w3.org/2001/04/xmlenc#sha256"/>
        <DigestValue>nkR1lu9OLM1UMxWiPa7wm3YcnQOlFOICy95qYiodDz0=</DigestValue>
      </Reference>
      <Reference URI="/xl/printerSettings/printerSettings19.bin?ContentType=application/vnd.openxmlformats-officedocument.spreadsheetml.printerSettings">
        <DigestMethod Algorithm="http://www.w3.org/2001/04/xmlenc#sha256"/>
        <DigestValue>2bvX94YA3UVSaKlpfCjo157kRTaGD9ZFW7t96/Nk1uk=</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SWiohiWSuPjjcblZxueyphOzVidWJvXmdfCiNQW6SiY=</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Q8ahkQxToXAAaJTDZsE/3PCISD9tjlKv7EXjMcnO6qc=</DigestValue>
      </Reference>
      <Reference URI="/xl/printerSettings/printerSettings7.bin?ContentType=application/vnd.openxmlformats-officedocument.spreadsheetml.printerSettings">
        <DigestMethod Algorithm="http://www.w3.org/2001/04/xmlenc#sha256"/>
        <DigestValue>6Qz4DajBxwRFt5OP780J6gjqX/Edufokf0FTsT+kcL4=</DigestValue>
      </Reference>
      <Reference URI="/xl/printerSettings/printerSettings8.bin?ContentType=application/vnd.openxmlformats-officedocument.spreadsheetml.printerSettings">
        <DigestMethod Algorithm="http://www.w3.org/2001/04/xmlenc#sha256"/>
        <DigestValue>6Qz4DajBxwRFt5OP780J6gjqX/Edufokf0FTsT+kcL4=</DigestValue>
      </Reference>
      <Reference URI="/xl/printerSettings/printerSettings9.bin?ContentType=application/vnd.openxmlformats-officedocument.spreadsheetml.printerSettings">
        <DigestMethod Algorithm="http://www.w3.org/2001/04/xmlenc#sha256"/>
        <DigestValue>2m6CW85rBYKpJKifjkFVt0n58BwBksWMXfva2VqaA+I=</DigestValue>
      </Reference>
      <Reference URI="/xl/sharedStrings.xml?ContentType=application/vnd.openxmlformats-officedocument.spreadsheetml.sharedStrings+xml">
        <DigestMethod Algorithm="http://www.w3.org/2001/04/xmlenc#sha256"/>
        <DigestValue>8KAl9Q86oF7IMwHD2U2ShpuQ3nGgS8dxXBC8K3gHpyQ=</DigestValue>
      </Reference>
      <Reference URI="/xl/styles.xml?ContentType=application/vnd.openxmlformats-officedocument.spreadsheetml.styles+xml">
        <DigestMethod Algorithm="http://www.w3.org/2001/04/xmlenc#sha256"/>
        <DigestValue>4cqU6TAJjoIQAMcd7+JzYI8IBkYc12VvkQF/Hz+hNFU=</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QgnNFAwt5fJnrI/z248Hrs5MjhJK6nLiSPQlF8fnI1o=</DigestValue>
      </Reference>
      <Reference URI="/xl/workbook.xml?ContentType=application/vnd.openxmlformats-officedocument.spreadsheetml.sheet.main+xml">
        <DigestMethod Algorithm="http://www.w3.org/2001/04/xmlenc#sha256"/>
        <DigestValue>nxP7wRataROaZ5JVx8iOAKqKKChTGA05h9s+wHp5f8k=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ooZtpEuYduQwM88C3OEoMu7yV+i6l1ITgdU2GqmcHyc=</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b0AbvUszDSS35nTN+SlHr1jUcd/yGgOHY2dbxRHZYeI=</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Sz64ncNQpUGGQn/MavwSVCaAZg3315RVbzC+msvC9Z0=</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jAsJ51a80Lsv2eVRlqrg8L8M1XEWXNKjWuCy3d0MKOo=</DigestValue>
      </Reference>
      <Reference URI="/xl/worksheets/sheet10.xml?ContentType=application/vnd.openxmlformats-officedocument.spreadsheetml.worksheet+xml">
        <DigestMethod Algorithm="http://www.w3.org/2001/04/xmlenc#sha256"/>
        <DigestValue>n7u04FQ4NE5NZyt5pPgKpCYMS8kLkJEfsR1UfsK6A7w=</DigestValue>
      </Reference>
      <Reference URI="/xl/worksheets/sheet11.xml?ContentType=application/vnd.openxmlformats-officedocument.spreadsheetml.worksheet+xml">
        <DigestMethod Algorithm="http://www.w3.org/2001/04/xmlenc#sha256"/>
        <DigestValue>47TOx4WXDgHOcw7J+H/L1tKUFyj5+Z6t8X+fjkDDMGw=</DigestValue>
      </Reference>
      <Reference URI="/xl/worksheets/sheet12.xml?ContentType=application/vnd.openxmlformats-officedocument.spreadsheetml.worksheet+xml">
        <DigestMethod Algorithm="http://www.w3.org/2001/04/xmlenc#sha256"/>
        <DigestValue>MxuYnAQ/V9bHXcWU4Pnvi9uQ0AXQ2uGmi4sFNPaiCz4=</DigestValue>
      </Reference>
      <Reference URI="/xl/worksheets/sheet13.xml?ContentType=application/vnd.openxmlformats-officedocument.spreadsheetml.worksheet+xml">
        <DigestMethod Algorithm="http://www.w3.org/2001/04/xmlenc#sha256"/>
        <DigestValue>ssIDXKJlPZzijqJlehTcY0wLMlXfCh3WDz21YMTohbA=</DigestValue>
      </Reference>
      <Reference URI="/xl/worksheets/sheet14.xml?ContentType=application/vnd.openxmlformats-officedocument.spreadsheetml.worksheet+xml">
        <DigestMethod Algorithm="http://www.w3.org/2001/04/xmlenc#sha256"/>
        <DigestValue>p5jgDz9PKr5w/rdQq44gcBKlgInclMS5CNCi1mp3i0I=</DigestValue>
      </Reference>
      <Reference URI="/xl/worksheets/sheet15.xml?ContentType=application/vnd.openxmlformats-officedocument.spreadsheetml.worksheet+xml">
        <DigestMethod Algorithm="http://www.w3.org/2001/04/xmlenc#sha256"/>
        <DigestValue>i8iciKUvqV09R5IflT8XfTrufRtCoZYLD7fJ1n6bfqY=</DigestValue>
      </Reference>
      <Reference URI="/xl/worksheets/sheet16.xml?ContentType=application/vnd.openxmlformats-officedocument.spreadsheetml.worksheet+xml">
        <DigestMethod Algorithm="http://www.w3.org/2001/04/xmlenc#sha256"/>
        <DigestValue>2/98eN/M4nHyKFkXgeJmSRvYMYMJlmDdWuCmOqIej3s=</DigestValue>
      </Reference>
      <Reference URI="/xl/worksheets/sheet17.xml?ContentType=application/vnd.openxmlformats-officedocument.spreadsheetml.worksheet+xml">
        <DigestMethod Algorithm="http://www.w3.org/2001/04/xmlenc#sha256"/>
        <DigestValue>m9pleaxDWbbxJqyr4hs6xAF6xB+bt2a2mQmnNp/U3Oc=</DigestValue>
      </Reference>
      <Reference URI="/xl/worksheets/sheet18.xml?ContentType=application/vnd.openxmlformats-officedocument.spreadsheetml.worksheet+xml">
        <DigestMethod Algorithm="http://www.w3.org/2001/04/xmlenc#sha256"/>
        <DigestValue>TrzhJU80Q7+6Vl7/+v7R1DuUzRXRFTr+BtyouCpBwbk=</DigestValue>
      </Reference>
      <Reference URI="/xl/worksheets/sheet19.xml?ContentType=application/vnd.openxmlformats-officedocument.spreadsheetml.worksheet+xml">
        <DigestMethod Algorithm="http://www.w3.org/2001/04/xmlenc#sha256"/>
        <DigestValue>/AvkCHXwxnnz9EBPjfpcQU8G0CSS/9UTfpyXk9W202s=</DigestValue>
      </Reference>
      <Reference URI="/xl/worksheets/sheet2.xml?ContentType=application/vnd.openxmlformats-officedocument.spreadsheetml.worksheet+xml">
        <DigestMethod Algorithm="http://www.w3.org/2001/04/xmlenc#sha256"/>
        <DigestValue>ei+8IK9R9VnpeIWqowLNKYE7jS2BHqngl0tVFdE5LtM=</DigestValue>
      </Reference>
      <Reference URI="/xl/worksheets/sheet20.xml?ContentType=application/vnd.openxmlformats-officedocument.spreadsheetml.worksheet+xml">
        <DigestMethod Algorithm="http://www.w3.org/2001/04/xmlenc#sha256"/>
        <DigestValue>SfjFnxvgrJnZZratRfhFS6qavfWpUiCkNh+L0gu9WCg=</DigestValue>
      </Reference>
      <Reference URI="/xl/worksheets/sheet21.xml?ContentType=application/vnd.openxmlformats-officedocument.spreadsheetml.worksheet+xml">
        <DigestMethod Algorithm="http://www.w3.org/2001/04/xmlenc#sha256"/>
        <DigestValue>9OE1p9H4AlzY9oL8QI341S3PFccsr1wnpRAAufOrnvQ=</DigestValue>
      </Reference>
      <Reference URI="/xl/worksheets/sheet22.xml?ContentType=application/vnd.openxmlformats-officedocument.spreadsheetml.worksheet+xml">
        <DigestMethod Algorithm="http://www.w3.org/2001/04/xmlenc#sha256"/>
        <DigestValue>5lV7V80hvnuusHXBRv9PosglVf87uheQjRBzxfF7LO8=</DigestValue>
      </Reference>
      <Reference URI="/xl/worksheets/sheet23.xml?ContentType=application/vnd.openxmlformats-officedocument.spreadsheetml.worksheet+xml">
        <DigestMethod Algorithm="http://www.w3.org/2001/04/xmlenc#sha256"/>
        <DigestValue>emC5um6X79s4yCLT1s9p6lZKsilBDTw4yaARvDMLbHc=</DigestValue>
      </Reference>
      <Reference URI="/xl/worksheets/sheet24.xml?ContentType=application/vnd.openxmlformats-officedocument.spreadsheetml.worksheet+xml">
        <DigestMethod Algorithm="http://www.w3.org/2001/04/xmlenc#sha256"/>
        <DigestValue>9C/fTboS22Muh5a+16zqqo9gh3d8d4eqqWcHCBO1BPE=</DigestValue>
      </Reference>
      <Reference URI="/xl/worksheets/sheet25.xml?ContentType=application/vnd.openxmlformats-officedocument.spreadsheetml.worksheet+xml">
        <DigestMethod Algorithm="http://www.w3.org/2001/04/xmlenc#sha256"/>
        <DigestValue>wj0EQj9QROaa+2tVlT/wuIhAAPXAYQHOMMwKyJedrWc=</DigestValue>
      </Reference>
      <Reference URI="/xl/worksheets/sheet26.xml?ContentType=application/vnd.openxmlformats-officedocument.spreadsheetml.worksheet+xml">
        <DigestMethod Algorithm="http://www.w3.org/2001/04/xmlenc#sha256"/>
        <DigestValue>RRlJIz1dmKpfQXvtZgRuM7hETegOt1jRmPrwMHv6+dY=</DigestValue>
      </Reference>
      <Reference URI="/xl/worksheets/sheet27.xml?ContentType=application/vnd.openxmlformats-officedocument.spreadsheetml.worksheet+xml">
        <DigestMethod Algorithm="http://www.w3.org/2001/04/xmlenc#sha256"/>
        <DigestValue>nzXVR8KNFElhsO1Q6wKExwSGaylJUBqpGd3vo4N6nlc=</DigestValue>
      </Reference>
      <Reference URI="/xl/worksheets/sheet28.xml?ContentType=application/vnd.openxmlformats-officedocument.spreadsheetml.worksheet+xml">
        <DigestMethod Algorithm="http://www.w3.org/2001/04/xmlenc#sha256"/>
        <DigestValue>Hiuheqs9A5F/5Hj/AFLH+9DrCpwHIisiFax+sfD+bDM=</DigestValue>
      </Reference>
      <Reference URI="/xl/worksheets/sheet29.xml?ContentType=application/vnd.openxmlformats-officedocument.spreadsheetml.worksheet+xml">
        <DigestMethod Algorithm="http://www.w3.org/2001/04/xmlenc#sha256"/>
        <DigestValue>Uq0rW+kECRPAysbgHS50DxpiImO3QevqTr9tStnL90Q=</DigestValue>
      </Reference>
      <Reference URI="/xl/worksheets/sheet3.xml?ContentType=application/vnd.openxmlformats-officedocument.spreadsheetml.worksheet+xml">
        <DigestMethod Algorithm="http://www.w3.org/2001/04/xmlenc#sha256"/>
        <DigestValue>uJ2YJgLqjq72eWJkI1EDHDSF+YEC8vEpTRbk+Xgtk8Y=</DigestValue>
      </Reference>
      <Reference URI="/xl/worksheets/sheet4.xml?ContentType=application/vnd.openxmlformats-officedocument.spreadsheetml.worksheet+xml">
        <DigestMethod Algorithm="http://www.w3.org/2001/04/xmlenc#sha256"/>
        <DigestValue>aIu1SwUnxppKVyga8McWf+U3n//KgB1wrT7eVFIi4d4=</DigestValue>
      </Reference>
      <Reference URI="/xl/worksheets/sheet5.xml?ContentType=application/vnd.openxmlformats-officedocument.spreadsheetml.worksheet+xml">
        <DigestMethod Algorithm="http://www.w3.org/2001/04/xmlenc#sha256"/>
        <DigestValue>m0S1lw86qIUyppke1CD6Qc0oXs5c+boJIW3ZS/9qnbo=</DigestValue>
      </Reference>
      <Reference URI="/xl/worksheets/sheet6.xml?ContentType=application/vnd.openxmlformats-officedocument.spreadsheetml.worksheet+xml">
        <DigestMethod Algorithm="http://www.w3.org/2001/04/xmlenc#sha256"/>
        <DigestValue>RxvF0deByTLw/Thu2YKYXePcCPTAiYrs2fym24jegWg=</DigestValue>
      </Reference>
      <Reference URI="/xl/worksheets/sheet7.xml?ContentType=application/vnd.openxmlformats-officedocument.spreadsheetml.worksheet+xml">
        <DigestMethod Algorithm="http://www.w3.org/2001/04/xmlenc#sha256"/>
        <DigestValue>qGbmLA3tVmEAZUz9M8Zaoi5nmHJRoL5pO0N7pLBK1ts=</DigestValue>
      </Reference>
      <Reference URI="/xl/worksheets/sheet8.xml?ContentType=application/vnd.openxmlformats-officedocument.spreadsheetml.worksheet+xml">
        <DigestMethod Algorithm="http://www.w3.org/2001/04/xmlenc#sha256"/>
        <DigestValue>fwKfWX9UrZm0krQvy0/9PczHHJoK0wyh2hIPj+sxwL8=</DigestValue>
      </Reference>
      <Reference URI="/xl/worksheets/sheet9.xml?ContentType=application/vnd.openxmlformats-officedocument.spreadsheetml.worksheet+xml">
        <DigestMethod Algorithm="http://www.w3.org/2001/04/xmlenc#sha256"/>
        <DigestValue>kLeWZJsksmrJIdPOzrwHFamoM+DH+qLnf3PJtE6sATo=</DigestValue>
      </Reference>
    </Manifest>
    <SignatureProperties>
      <SignatureProperty Id="idSignatureTime" Target="#idPackageSignature">
        <mdssi:SignatureTime xmlns:mdssi="http://schemas.openxmlformats.org/package/2006/digital-signature">
          <mdssi:Format>YYYY-MM-DDThh:mm:ssTZD</mdssi:Format>
          <mdssi:Value>2023-03-01T11:02:47Z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2023-03-01T11:02:47Z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2022-07-28T07:33:37Z</dcterms:created>
  <dcterms:modified xsi:type="dcterms:W3CDTF">2023-03-01T10:05:00Z</dcterms:modified>
</cp:coreProperties>
</file>